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tabRatio="1000" firstSheet="3" activeTab="12"/>
  </bookViews>
  <sheets>
    <sheet name="Cuota Parte" sheetId="9" r:id="rId1"/>
    <sheet name="Exceso Pérdida" sheetId="8" r:id="rId2"/>
    <sheet name="Siniestros" sheetId="34" r:id="rId3"/>
    <sheet name="Aseguradora A" sheetId="17" r:id="rId4"/>
    <sheet name="Aseguradora B" sheetId="23" r:id="rId5"/>
    <sheet name="Aseguradora C" sheetId="24" r:id="rId6"/>
    <sheet name="Comparación A, B &amp; C" sheetId="25" r:id="rId7"/>
    <sheet name="Gráfico RatioSiniestr" sheetId="26" r:id="rId8"/>
    <sheet name="Gráfico RatioComb" sheetId="30" r:id="rId9"/>
    <sheet name="Gráfico PrimasPatrimonio" sheetId="29" r:id="rId10"/>
    <sheet name="Gráfico ROE" sheetId="27" r:id="rId11"/>
    <sheet name="Gráfico ROA" sheetId="28" r:id="rId12"/>
    <sheet name="Gráfico PrimasCedidas" sheetId="31" r:id="rId13"/>
  </sheets>
  <externalReferences>
    <externalReference r:id="rId14"/>
  </externalReferences>
  <definedNames>
    <definedName name="_xlnm._FilterDatabase" localSheetId="0" hidden="1">'Cuota Parte'!$H$3:$H$5</definedName>
    <definedName name="_xlnm.Print_Area" localSheetId="0">'Cuota Parte'!$A$1:$F$164</definedName>
    <definedName name="_xlnm.Print_Area" localSheetId="1">'Exceso Pérdida'!$A$1:$K$143</definedName>
    <definedName name="_xlnm.Print_Area" localSheetId="2">Siniestros!$A$1:$J$33</definedName>
  </definedNames>
  <calcPr calcId="145621"/>
</workbook>
</file>

<file path=xl/calcChain.xml><?xml version="1.0" encoding="utf-8"?>
<calcChain xmlns="http://schemas.openxmlformats.org/spreadsheetml/2006/main">
  <c r="K4" i="24" l="1"/>
  <c r="J4" i="24"/>
  <c r="E4" i="24"/>
  <c r="B4" i="24"/>
  <c r="K4" i="23"/>
  <c r="E4" i="23"/>
  <c r="J4" i="23" s="1"/>
  <c r="B4" i="23"/>
  <c r="B40" i="24"/>
  <c r="B40" i="23"/>
  <c r="B40" i="17"/>
  <c r="D17" i="34"/>
  <c r="D16" i="34"/>
  <c r="D15" i="34"/>
  <c r="D14" i="34"/>
  <c r="D13" i="34"/>
  <c r="D12" i="34"/>
  <c r="D11" i="34"/>
  <c r="D10" i="34"/>
  <c r="D9" i="34"/>
  <c r="D8" i="34"/>
  <c r="D7" i="34"/>
  <c r="D6" i="34"/>
  <c r="L26" i="25" l="1"/>
  <c r="L29" i="25"/>
  <c r="L28" i="25"/>
  <c r="L25" i="25"/>
  <c r="L24" i="25"/>
  <c r="L23" i="25"/>
  <c r="L21" i="25"/>
  <c r="L20" i="25"/>
  <c r="L19" i="25"/>
  <c r="L16" i="25"/>
  <c r="L15" i="25"/>
  <c r="L13" i="25"/>
  <c r="L11" i="25"/>
  <c r="L8" i="25"/>
  <c r="L7" i="25"/>
  <c r="L6" i="25"/>
  <c r="K22" i="25"/>
  <c r="K19" i="25"/>
  <c r="K12" i="25"/>
  <c r="K7" i="25"/>
  <c r="D37" i="24"/>
  <c r="D36" i="24"/>
  <c r="B36" i="24"/>
  <c r="D34" i="24"/>
  <c r="B34" i="24"/>
  <c r="D33" i="24"/>
  <c r="B33" i="24"/>
  <c r="D32" i="24"/>
  <c r="B32" i="24"/>
  <c r="D29" i="24"/>
  <c r="D38" i="24" s="1"/>
  <c r="B29" i="24"/>
  <c r="G28" i="24"/>
  <c r="F28" i="24"/>
  <c r="E28" i="24"/>
  <c r="D28" i="24"/>
  <c r="B28" i="24"/>
  <c r="L27" i="24"/>
  <c r="H27" i="24"/>
  <c r="D26" i="24"/>
  <c r="B26" i="24"/>
  <c r="G25" i="24"/>
  <c r="F25" i="24"/>
  <c r="E25" i="24"/>
  <c r="D25" i="24"/>
  <c r="B25" i="24"/>
  <c r="K24" i="24"/>
  <c r="J24" i="24"/>
  <c r="H24" i="24"/>
  <c r="D24" i="24"/>
  <c r="B24" i="24"/>
  <c r="D23" i="24"/>
  <c r="B23" i="24"/>
  <c r="H22" i="24"/>
  <c r="B22" i="24"/>
  <c r="D21" i="24"/>
  <c r="B21" i="24"/>
  <c r="K20" i="24"/>
  <c r="G20" i="24"/>
  <c r="F20" i="24"/>
  <c r="E20" i="24"/>
  <c r="B20" i="24"/>
  <c r="D19" i="24"/>
  <c r="H19" i="24" s="1"/>
  <c r="B19" i="24"/>
  <c r="B18" i="24"/>
  <c r="D16" i="24"/>
  <c r="K15" i="24"/>
  <c r="J15" i="24"/>
  <c r="G15" i="24"/>
  <c r="F15" i="24"/>
  <c r="E15" i="24"/>
  <c r="D15" i="24"/>
  <c r="B15" i="24"/>
  <c r="D13" i="24"/>
  <c r="H12" i="24"/>
  <c r="K11" i="24"/>
  <c r="J11" i="24"/>
  <c r="G11" i="24"/>
  <c r="F11" i="24"/>
  <c r="E11" i="24"/>
  <c r="D11" i="24"/>
  <c r="B11" i="24"/>
  <c r="B10" i="24"/>
  <c r="D8" i="24"/>
  <c r="D7" i="24"/>
  <c r="H7" i="24" s="1"/>
  <c r="L7" i="24" s="1"/>
  <c r="B7" i="24"/>
  <c r="K6" i="24"/>
  <c r="G6" i="24"/>
  <c r="F6" i="24"/>
  <c r="E6" i="24"/>
  <c r="D6" i="24"/>
  <c r="B6" i="24"/>
  <c r="B5" i="24"/>
  <c r="D36" i="23"/>
  <c r="B36" i="23"/>
  <c r="D34" i="23"/>
  <c r="B34" i="23"/>
  <c r="D33" i="23"/>
  <c r="B33" i="23"/>
  <c r="D32" i="23"/>
  <c r="B32" i="23"/>
  <c r="D29" i="23"/>
  <c r="D37" i="23" s="1"/>
  <c r="B29" i="23"/>
  <c r="G28" i="23"/>
  <c r="F28" i="23"/>
  <c r="E28" i="23"/>
  <c r="D28" i="23"/>
  <c r="B28" i="23"/>
  <c r="L27" i="23"/>
  <c r="H27" i="23"/>
  <c r="D26" i="23"/>
  <c r="B26" i="23"/>
  <c r="G25" i="23"/>
  <c r="F25" i="23"/>
  <c r="E25" i="23"/>
  <c r="D25" i="23"/>
  <c r="B25" i="23"/>
  <c r="K24" i="23"/>
  <c r="J24" i="23"/>
  <c r="H24" i="23"/>
  <c r="D24" i="23"/>
  <c r="B24" i="23"/>
  <c r="D23" i="23"/>
  <c r="B23" i="23"/>
  <c r="H22" i="23"/>
  <c r="B22" i="23"/>
  <c r="D21" i="23"/>
  <c r="B21" i="23"/>
  <c r="K20" i="23"/>
  <c r="G20" i="23"/>
  <c r="F20" i="23"/>
  <c r="E20" i="23"/>
  <c r="B20" i="23"/>
  <c r="D19" i="23"/>
  <c r="H19" i="23" s="1"/>
  <c r="B19" i="23"/>
  <c r="B18" i="23"/>
  <c r="D16" i="23"/>
  <c r="K15" i="23"/>
  <c r="J15" i="23"/>
  <c r="G15" i="23"/>
  <c r="F15" i="23"/>
  <c r="E15" i="23"/>
  <c r="D15" i="23"/>
  <c r="B15" i="23"/>
  <c r="D13" i="23"/>
  <c r="H12" i="23"/>
  <c r="K11" i="23"/>
  <c r="J11" i="23"/>
  <c r="G11" i="23"/>
  <c r="F11" i="23"/>
  <c r="E11" i="23"/>
  <c r="D11" i="23"/>
  <c r="B11" i="23"/>
  <c r="B10" i="23"/>
  <c r="D8" i="23"/>
  <c r="D7" i="23"/>
  <c r="H7" i="23" s="1"/>
  <c r="L7" i="23" s="1"/>
  <c r="B7" i="23"/>
  <c r="K6" i="23"/>
  <c r="G6" i="23"/>
  <c r="F6" i="23"/>
  <c r="E6" i="23"/>
  <c r="D6" i="23"/>
  <c r="B6" i="23"/>
  <c r="B5" i="23"/>
  <c r="G20" i="17"/>
  <c r="G15" i="17"/>
  <c r="K20" i="17"/>
  <c r="K11" i="17"/>
  <c r="J11" i="17"/>
  <c r="E142" i="9"/>
  <c r="E20" i="17" s="1"/>
  <c r="E11" i="17"/>
  <c r="H6" i="23" l="1"/>
  <c r="H8" i="23" s="1"/>
  <c r="H20" i="24"/>
  <c r="L20" i="24" s="1"/>
  <c r="H11" i="24"/>
  <c r="L11" i="24" s="1"/>
  <c r="L24" i="24"/>
  <c r="K24" i="25" s="1"/>
  <c r="H25" i="24"/>
  <c r="L25" i="24" s="1"/>
  <c r="H28" i="24"/>
  <c r="L28" i="24" s="1"/>
  <c r="K28" i="25" s="1"/>
  <c r="H6" i="24"/>
  <c r="H8" i="24" s="1"/>
  <c r="H15" i="24"/>
  <c r="L15" i="24" s="1"/>
  <c r="K15" i="25" s="1"/>
  <c r="H11" i="23"/>
  <c r="L11" i="23" s="1"/>
  <c r="L13" i="23" s="1"/>
  <c r="H20" i="23"/>
  <c r="L20" i="23" s="1"/>
  <c r="L40" i="23" s="1"/>
  <c r="L24" i="23"/>
  <c r="H25" i="23"/>
  <c r="H33" i="23" s="1"/>
  <c r="H15" i="23"/>
  <c r="L15" i="23" s="1"/>
  <c r="H28" i="23"/>
  <c r="L28" i="23" s="1"/>
  <c r="L19" i="24"/>
  <c r="D40" i="24"/>
  <c r="L6" i="23"/>
  <c r="L8" i="23" s="1"/>
  <c r="L19" i="23"/>
  <c r="D40" i="23"/>
  <c r="D38" i="23"/>
  <c r="E122" i="8"/>
  <c r="F122" i="8" s="1"/>
  <c r="F113" i="8"/>
  <c r="G73" i="8"/>
  <c r="I73" i="8" s="1"/>
  <c r="E73" i="8"/>
  <c r="F73" i="8" s="1"/>
  <c r="F64" i="8"/>
  <c r="E24" i="8"/>
  <c r="F24" i="8" s="1"/>
  <c r="E34" i="9"/>
  <c r="H19" i="8"/>
  <c r="I15" i="8"/>
  <c r="H15" i="8"/>
  <c r="H28" i="8" s="1"/>
  <c r="F15" i="8"/>
  <c r="D14" i="8"/>
  <c r="D16" i="8" s="1"/>
  <c r="D17" i="8" s="1"/>
  <c r="J134" i="9"/>
  <c r="J135" i="9" s="1"/>
  <c r="J80" i="9"/>
  <c r="J81" i="9" s="1"/>
  <c r="J27" i="9"/>
  <c r="J26" i="9"/>
  <c r="D54" i="9"/>
  <c r="D132" i="9"/>
  <c r="E133" i="9"/>
  <c r="F133" i="9" s="1"/>
  <c r="D78" i="9"/>
  <c r="D80" i="9" s="1"/>
  <c r="D81" i="9" s="1"/>
  <c r="E79" i="9"/>
  <c r="F79" i="9" s="1"/>
  <c r="E29" i="9"/>
  <c r="E88" i="9"/>
  <c r="F26" i="9"/>
  <c r="F25" i="9"/>
  <c r="E25" i="9"/>
  <c r="F24" i="9"/>
  <c r="D27" i="9"/>
  <c r="D26" i="9"/>
  <c r="J49" i="8"/>
  <c r="H40" i="23" l="1"/>
  <c r="H40" i="24"/>
  <c r="H33" i="24"/>
  <c r="H21" i="24"/>
  <c r="H23" i="24" s="1"/>
  <c r="H21" i="23"/>
  <c r="H23" i="23" s="1"/>
  <c r="L16" i="23"/>
  <c r="L13" i="24"/>
  <c r="K11" i="25"/>
  <c r="L6" i="24"/>
  <c r="H13" i="24"/>
  <c r="H16" i="24" s="1"/>
  <c r="L40" i="24"/>
  <c r="K20" i="25"/>
  <c r="L33" i="24"/>
  <c r="K25" i="25"/>
  <c r="L25" i="23"/>
  <c r="L33" i="23" s="1"/>
  <c r="H13" i="23"/>
  <c r="H16" i="23" s="1"/>
  <c r="L21" i="24"/>
  <c r="K21" i="25" s="1"/>
  <c r="L21" i="23"/>
  <c r="D63" i="8"/>
  <c r="D112" i="8" s="1"/>
  <c r="F14" i="8"/>
  <c r="F16" i="8" s="1"/>
  <c r="F17" i="8" s="1"/>
  <c r="F78" i="9"/>
  <c r="F80" i="9" s="1"/>
  <c r="F81" i="9" s="1"/>
  <c r="F132" i="9"/>
  <c r="D134" i="9"/>
  <c r="D135" i="9" s="1"/>
  <c r="E137" i="9"/>
  <c r="E83" i="9"/>
  <c r="F27" i="9"/>
  <c r="R5" i="8"/>
  <c r="R6" i="8" s="1"/>
  <c r="Q6" i="8"/>
  <c r="Q5" i="8"/>
  <c r="P5" i="8"/>
  <c r="P6" i="8" s="1"/>
  <c r="R4" i="8"/>
  <c r="Q4" i="8"/>
  <c r="P4" i="8"/>
  <c r="H36" i="23" l="1"/>
  <c r="H36" i="24"/>
  <c r="L16" i="24"/>
  <c r="K16" i="25" s="1"/>
  <c r="K13" i="25"/>
  <c r="L8" i="24"/>
  <c r="K8" i="25" s="1"/>
  <c r="K6" i="25"/>
  <c r="L36" i="24"/>
  <c r="L23" i="24"/>
  <c r="K23" i="25" s="1"/>
  <c r="H26" i="24"/>
  <c r="H29" i="24" s="1"/>
  <c r="H32" i="24"/>
  <c r="H34" i="24" s="1"/>
  <c r="L36" i="23"/>
  <c r="L23" i="23"/>
  <c r="H26" i="23"/>
  <c r="H29" i="23" s="1"/>
  <c r="H32" i="23"/>
  <c r="H34" i="23" s="1"/>
  <c r="F63" i="8"/>
  <c r="D114" i="8"/>
  <c r="D115" i="8" s="1"/>
  <c r="F112" i="8"/>
  <c r="F114" i="8" s="1"/>
  <c r="F115" i="8" s="1"/>
  <c r="F65" i="8"/>
  <c r="F66" i="8" s="1"/>
  <c r="D65" i="8"/>
  <c r="D66" i="8" s="1"/>
  <c r="F134" i="9"/>
  <c r="F135" i="9" s="1"/>
  <c r="J69" i="9"/>
  <c r="G78" i="9" s="1"/>
  <c r="J15" i="9"/>
  <c r="H38" i="24" l="1"/>
  <c r="H37" i="24"/>
  <c r="L26" i="24"/>
  <c r="L29" i="24" s="1"/>
  <c r="K29" i="25" s="1"/>
  <c r="L32" i="24"/>
  <c r="L34" i="24" s="1"/>
  <c r="H38" i="23"/>
  <c r="H37" i="23"/>
  <c r="L26" i="23"/>
  <c r="L29" i="23" s="1"/>
  <c r="L32" i="23"/>
  <c r="L34" i="23" s="1"/>
  <c r="J78" i="9"/>
  <c r="G83" i="9"/>
  <c r="H79" i="9"/>
  <c r="I78" i="9"/>
  <c r="L38" i="24" l="1"/>
  <c r="L37" i="24"/>
  <c r="L37" i="23"/>
  <c r="L38" i="23"/>
  <c r="H83" i="9"/>
  <c r="I79" i="9"/>
  <c r="I80" i="9" s="1"/>
  <c r="I81" i="9" s="1"/>
  <c r="C20" i="25" l="1"/>
  <c r="C12" i="25"/>
  <c r="J22" i="25" l="1"/>
  <c r="I22" i="25"/>
  <c r="J12" i="25"/>
  <c r="I12" i="25"/>
  <c r="C22" i="25"/>
  <c r="G22" i="25" s="1"/>
  <c r="G12" i="25"/>
  <c r="G20" i="25" l="1"/>
  <c r="F24" i="25" l="1"/>
  <c r="F22" i="25"/>
  <c r="F12" i="25"/>
  <c r="E24" i="25"/>
  <c r="E22" i="25"/>
  <c r="E12" i="25"/>
  <c r="E19" i="25" l="1"/>
  <c r="F7" i="25"/>
  <c r="F19" i="25"/>
  <c r="J7" i="25"/>
  <c r="E7" i="25"/>
  <c r="J19" i="25" l="1"/>
  <c r="K6" i="17" l="1"/>
  <c r="G25" i="17" l="1"/>
  <c r="G11" i="17"/>
  <c r="F25" i="17"/>
  <c r="B36" i="17"/>
  <c r="B34" i="17"/>
  <c r="B33" i="17"/>
  <c r="B32" i="17"/>
  <c r="B29" i="17"/>
  <c r="D28" i="17"/>
  <c r="C28" i="25" s="1"/>
  <c r="G28" i="25" s="1"/>
  <c r="B28" i="17"/>
  <c r="H27" i="17"/>
  <c r="L27" i="17" s="1"/>
  <c r="B26" i="17"/>
  <c r="D25" i="17"/>
  <c r="C25" i="25" s="1"/>
  <c r="B25" i="17"/>
  <c r="D24" i="17"/>
  <c r="B24" i="17"/>
  <c r="B23" i="17"/>
  <c r="H22" i="17"/>
  <c r="D22" i="25" s="1"/>
  <c r="L22" i="25" s="1"/>
  <c r="B22" i="17"/>
  <c r="B21" i="17"/>
  <c r="B20" i="17"/>
  <c r="D19" i="17"/>
  <c r="D40" i="17" s="1"/>
  <c r="B19" i="17"/>
  <c r="B18" i="17"/>
  <c r="B15" i="17"/>
  <c r="H12" i="17"/>
  <c r="D12" i="25" s="1"/>
  <c r="D11" i="17"/>
  <c r="C11" i="25" s="1"/>
  <c r="B11" i="17"/>
  <c r="B10" i="17"/>
  <c r="D7" i="17"/>
  <c r="B7" i="17"/>
  <c r="D6" i="17"/>
  <c r="C6" i="25" s="1"/>
  <c r="G6" i="25" s="1"/>
  <c r="B6" i="17"/>
  <c r="B5" i="17"/>
  <c r="K4" i="17"/>
  <c r="E4" i="17"/>
  <c r="J4" i="17" s="1"/>
  <c r="B4" i="17"/>
  <c r="G11" i="25" l="1"/>
  <c r="H19" i="17"/>
  <c r="C19" i="25"/>
  <c r="C33" i="25" s="1"/>
  <c r="H24" i="17"/>
  <c r="D24" i="25" s="1"/>
  <c r="C24" i="25"/>
  <c r="G25" i="25"/>
  <c r="H7" i="17"/>
  <c r="C7" i="25"/>
  <c r="G7" i="25" s="1"/>
  <c r="E28" i="17"/>
  <c r="L19" i="17" l="1"/>
  <c r="I19" i="25" s="1"/>
  <c r="D19" i="25"/>
  <c r="G24" i="25"/>
  <c r="G19" i="25"/>
  <c r="G40" i="25" s="1"/>
  <c r="C40" i="25"/>
  <c r="L7" i="17"/>
  <c r="I7" i="25" s="1"/>
  <c r="D7" i="25"/>
  <c r="D32" i="8"/>
  <c r="D130" i="8" s="1"/>
  <c r="D29" i="8"/>
  <c r="D127" i="8" s="1"/>
  <c r="D28" i="8"/>
  <c r="D77" i="8" s="1"/>
  <c r="D23" i="8"/>
  <c r="D10" i="8"/>
  <c r="D108" i="8" s="1"/>
  <c r="D9" i="8"/>
  <c r="J98" i="8"/>
  <c r="J97" i="8"/>
  <c r="H113" i="8" s="1"/>
  <c r="J48" i="8"/>
  <c r="H64" i="8" s="1"/>
  <c r="J113" i="9"/>
  <c r="J122" i="9"/>
  <c r="J120" i="9"/>
  <c r="J119" i="9"/>
  <c r="J118" i="9"/>
  <c r="J117" i="9"/>
  <c r="J116" i="9"/>
  <c r="J115" i="9"/>
  <c r="J114" i="9"/>
  <c r="J112" i="9"/>
  <c r="D150" i="9"/>
  <c r="J150" i="9" s="1"/>
  <c r="D147" i="9"/>
  <c r="J147" i="9" s="1"/>
  <c r="D146" i="9"/>
  <c r="F146" i="9" s="1"/>
  <c r="D141" i="9"/>
  <c r="D128" i="9"/>
  <c r="D129" i="9" s="1"/>
  <c r="D137" i="9" s="1"/>
  <c r="D127" i="9"/>
  <c r="J127" i="9" s="1"/>
  <c r="D96" i="9"/>
  <c r="D93" i="9"/>
  <c r="J93" i="9" s="1"/>
  <c r="D92" i="9"/>
  <c r="F92" i="9" s="1"/>
  <c r="D87" i="9"/>
  <c r="D74" i="9"/>
  <c r="F74" i="9" s="1"/>
  <c r="I74" i="9" s="1"/>
  <c r="J74" i="9" s="1"/>
  <c r="D73" i="9"/>
  <c r="E147" i="9"/>
  <c r="F142" i="9"/>
  <c r="E127" i="9"/>
  <c r="J96" i="9"/>
  <c r="E93" i="9"/>
  <c r="F88" i="9"/>
  <c r="I88" i="9" s="1"/>
  <c r="E73" i="9"/>
  <c r="H117" i="8" l="1"/>
  <c r="I113" i="8"/>
  <c r="H126" i="8"/>
  <c r="I64" i="8"/>
  <c r="H77" i="8"/>
  <c r="H68" i="8"/>
  <c r="D121" i="8"/>
  <c r="D44" i="8"/>
  <c r="D138" i="9"/>
  <c r="F137" i="9"/>
  <c r="J141" i="9"/>
  <c r="D162" i="9"/>
  <c r="D89" i="9"/>
  <c r="D108" i="9"/>
  <c r="G33" i="25"/>
  <c r="F128" i="9"/>
  <c r="I128" i="9" s="1"/>
  <c r="J128" i="9" s="1"/>
  <c r="J129" i="9" s="1"/>
  <c r="J121" i="9"/>
  <c r="J123" i="9" s="1"/>
  <c r="G132" i="9" s="1"/>
  <c r="E13" i="25"/>
  <c r="F13" i="25"/>
  <c r="F11" i="25"/>
  <c r="I142" i="9"/>
  <c r="D78" i="8"/>
  <c r="D81" i="8"/>
  <c r="F93" i="9"/>
  <c r="I93" i="9" s="1"/>
  <c r="J87" i="9"/>
  <c r="D59" i="8"/>
  <c r="F127" i="9"/>
  <c r="D107" i="8"/>
  <c r="F73" i="9"/>
  <c r="I73" i="9" s="1"/>
  <c r="I75" i="9" s="1"/>
  <c r="J73" i="9"/>
  <c r="J75" i="9" s="1"/>
  <c r="J83" i="9" s="1"/>
  <c r="J84" i="9" s="1"/>
  <c r="F147" i="9"/>
  <c r="I147" i="9" s="1"/>
  <c r="D126" i="8"/>
  <c r="F87" i="9"/>
  <c r="D101" i="9"/>
  <c r="D72" i="8"/>
  <c r="D93" i="8" s="1"/>
  <c r="D75" i="9"/>
  <c r="D83" i="9" s="1"/>
  <c r="D58" i="8"/>
  <c r="D155" i="9"/>
  <c r="F141" i="9"/>
  <c r="D143" i="9"/>
  <c r="D145" i="9" s="1"/>
  <c r="J155" i="9"/>
  <c r="D91" i="9"/>
  <c r="D142" i="8" l="1"/>
  <c r="F121" i="8"/>
  <c r="F142" i="8" s="1"/>
  <c r="G137" i="9"/>
  <c r="J132" i="9"/>
  <c r="J137" i="9" s="1"/>
  <c r="J138" i="9" s="1"/>
  <c r="H133" i="9"/>
  <c r="I132" i="9"/>
  <c r="D84" i="9"/>
  <c r="F83" i="9"/>
  <c r="I87" i="9"/>
  <c r="I101" i="9" s="1"/>
  <c r="F108" i="9"/>
  <c r="J89" i="9"/>
  <c r="J91" i="9" s="1"/>
  <c r="J108" i="9"/>
  <c r="J143" i="9"/>
  <c r="J145" i="9" s="1"/>
  <c r="J162" i="9"/>
  <c r="F143" i="9"/>
  <c r="F145" i="9" s="1"/>
  <c r="F148" i="9" s="1"/>
  <c r="F162" i="9"/>
  <c r="F138" i="9"/>
  <c r="J101" i="9"/>
  <c r="F129" i="9"/>
  <c r="F75" i="9"/>
  <c r="E11" i="25"/>
  <c r="F25" i="25"/>
  <c r="F33" i="25" s="1"/>
  <c r="I127" i="9"/>
  <c r="I129" i="9" s="1"/>
  <c r="G146" i="9"/>
  <c r="H146" i="9"/>
  <c r="H92" i="9"/>
  <c r="G92" i="9"/>
  <c r="F96" i="9"/>
  <c r="I96" i="9" s="1"/>
  <c r="F150" i="9"/>
  <c r="I150" i="9" s="1"/>
  <c r="F101" i="9"/>
  <c r="F89" i="9"/>
  <c r="F91" i="9" s="1"/>
  <c r="F155" i="9"/>
  <c r="I141" i="9"/>
  <c r="D158" i="9"/>
  <c r="D104" i="9"/>
  <c r="F154" i="9"/>
  <c r="D148" i="9"/>
  <c r="D151" i="9" s="1"/>
  <c r="D154" i="9"/>
  <c r="D156" i="9" s="1"/>
  <c r="D94" i="9"/>
  <c r="D97" i="9" s="1"/>
  <c r="D100" i="9"/>
  <c r="D102" i="9" s="1"/>
  <c r="H137" i="9" l="1"/>
  <c r="I137" i="9" s="1"/>
  <c r="I158" i="9" s="1"/>
  <c r="I133" i="9"/>
  <c r="I134" i="9" s="1"/>
  <c r="I135" i="9" s="1"/>
  <c r="D160" i="9"/>
  <c r="D159" i="9"/>
  <c r="I143" i="9"/>
  <c r="I145" i="9" s="1"/>
  <c r="I162" i="9"/>
  <c r="I89" i="9"/>
  <c r="I91" i="9" s="1"/>
  <c r="I108" i="9"/>
  <c r="F84" i="9"/>
  <c r="I83" i="9"/>
  <c r="I84" i="9" s="1"/>
  <c r="D106" i="9"/>
  <c r="D105" i="9"/>
  <c r="I146" i="9"/>
  <c r="I154" i="9" s="1"/>
  <c r="K33" i="25"/>
  <c r="J146" i="9"/>
  <c r="J154" i="9" s="1"/>
  <c r="J92" i="9"/>
  <c r="J94" i="9" s="1"/>
  <c r="J97" i="9" s="1"/>
  <c r="I92" i="9"/>
  <c r="I94" i="9" s="1"/>
  <c r="I97" i="9" s="1"/>
  <c r="F156" i="9"/>
  <c r="F151" i="9"/>
  <c r="F104" i="9"/>
  <c r="I155" i="9"/>
  <c r="F158" i="9"/>
  <c r="J158" i="9"/>
  <c r="F94" i="9"/>
  <c r="F97" i="9" s="1"/>
  <c r="F100" i="9"/>
  <c r="E19" i="9"/>
  <c r="E39" i="9"/>
  <c r="F34" i="9"/>
  <c r="I138" i="9" l="1"/>
  <c r="F106" i="9"/>
  <c r="F105" i="9"/>
  <c r="F160" i="9"/>
  <c r="F159" i="9"/>
  <c r="I106" i="9"/>
  <c r="I105" i="9"/>
  <c r="J106" i="9"/>
  <c r="J105" i="9"/>
  <c r="E25" i="25"/>
  <c r="E33" i="25" s="1"/>
  <c r="E6" i="17"/>
  <c r="I148" i="9"/>
  <c r="I151" i="9" s="1"/>
  <c r="E25" i="17"/>
  <c r="H25" i="17" s="1"/>
  <c r="H33" i="17" s="1"/>
  <c r="J148" i="9"/>
  <c r="J151" i="9" s="1"/>
  <c r="J100" i="9"/>
  <c r="J102" i="9" s="1"/>
  <c r="I100" i="9"/>
  <c r="I102" i="9" s="1"/>
  <c r="J104" i="9"/>
  <c r="H38" i="9"/>
  <c r="G24" i="9"/>
  <c r="G38" i="9"/>
  <c r="I156" i="9"/>
  <c r="J156" i="9"/>
  <c r="F102" i="9"/>
  <c r="F39" i="9"/>
  <c r="I39" i="9" s="1"/>
  <c r="D47" i="9"/>
  <c r="J42" i="9"/>
  <c r="J39" i="9"/>
  <c r="F38" i="9"/>
  <c r="D35" i="9"/>
  <c r="J33" i="9"/>
  <c r="J54" i="9" s="1"/>
  <c r="F33" i="9"/>
  <c r="D21" i="9"/>
  <c r="F20" i="9"/>
  <c r="I20" i="9" s="1"/>
  <c r="J20" i="9" s="1"/>
  <c r="J19" i="9"/>
  <c r="F19" i="9"/>
  <c r="J99" i="8"/>
  <c r="J50" i="8"/>
  <c r="J5" i="8"/>
  <c r="E107" i="8"/>
  <c r="E117" i="8" s="1"/>
  <c r="D135" i="8"/>
  <c r="J130" i="8"/>
  <c r="J127" i="8"/>
  <c r="F127" i="8"/>
  <c r="F126" i="8"/>
  <c r="D123" i="8"/>
  <c r="J121" i="8"/>
  <c r="J142" i="8" s="1"/>
  <c r="I121" i="8"/>
  <c r="G112" i="8"/>
  <c r="D109" i="8"/>
  <c r="D117" i="8" s="1"/>
  <c r="D118" i="8" s="1"/>
  <c r="F108" i="8"/>
  <c r="I108" i="8" s="1"/>
  <c r="J108" i="8" s="1"/>
  <c r="J107" i="8"/>
  <c r="G58" i="8"/>
  <c r="E58" i="8"/>
  <c r="D86" i="8"/>
  <c r="J81" i="8"/>
  <c r="J78" i="8"/>
  <c r="F78" i="8"/>
  <c r="I78" i="8" s="1"/>
  <c r="F77" i="8"/>
  <c r="D74" i="8"/>
  <c r="J72" i="8"/>
  <c r="F72" i="8"/>
  <c r="F93" i="8" s="1"/>
  <c r="G63" i="8"/>
  <c r="D60" i="8"/>
  <c r="F59" i="8"/>
  <c r="I59" i="8" s="1"/>
  <c r="J59" i="8" s="1"/>
  <c r="J58" i="8"/>
  <c r="J9" i="8"/>
  <c r="G14" i="8"/>
  <c r="F29" i="8"/>
  <c r="E9" i="8"/>
  <c r="F28" i="8"/>
  <c r="I63" i="8" l="1"/>
  <c r="I65" i="8" s="1"/>
  <c r="I66" i="8" s="1"/>
  <c r="J63" i="8"/>
  <c r="J65" i="8" s="1"/>
  <c r="J66" i="8" s="1"/>
  <c r="J74" i="8"/>
  <c r="J76" i="8" s="1"/>
  <c r="J93" i="8"/>
  <c r="I160" i="9"/>
  <c r="I159" i="9"/>
  <c r="I33" i="9"/>
  <c r="I54" i="9" s="1"/>
  <c r="F54" i="9"/>
  <c r="J160" i="9"/>
  <c r="J159" i="9"/>
  <c r="I24" i="9"/>
  <c r="H25" i="9"/>
  <c r="J25" i="25"/>
  <c r="J33" i="25" s="1"/>
  <c r="E15" i="17"/>
  <c r="D25" i="25"/>
  <c r="L25" i="17"/>
  <c r="L33" i="17" s="1"/>
  <c r="D125" i="8"/>
  <c r="D128" i="8" s="1"/>
  <c r="I104" i="9"/>
  <c r="J24" i="17"/>
  <c r="J24" i="9"/>
  <c r="F42" i="9"/>
  <c r="I42" i="9" s="1"/>
  <c r="G6" i="17"/>
  <c r="G77" i="8"/>
  <c r="G117" i="8"/>
  <c r="D21" i="17"/>
  <c r="C21" i="25" s="1"/>
  <c r="D33" i="17"/>
  <c r="D13" i="17"/>
  <c r="C13" i="25" s="1"/>
  <c r="G13" i="25" s="1"/>
  <c r="D8" i="17"/>
  <c r="C8" i="25" s="1"/>
  <c r="G8" i="25" s="1"/>
  <c r="F11" i="17"/>
  <c r="H11" i="17" s="1"/>
  <c r="D11" i="25" s="1"/>
  <c r="F6" i="17"/>
  <c r="D37" i="9"/>
  <c r="J109" i="8"/>
  <c r="I112" i="8"/>
  <c r="I114" i="8" s="1"/>
  <c r="I115" i="8" s="1"/>
  <c r="G126" i="8"/>
  <c r="J112" i="8"/>
  <c r="J114" i="8" s="1"/>
  <c r="J115" i="8" s="1"/>
  <c r="D29" i="9"/>
  <c r="D50" i="9" s="1"/>
  <c r="J21" i="9"/>
  <c r="J47" i="9"/>
  <c r="F21" i="9"/>
  <c r="F47" i="9"/>
  <c r="J38" i="9"/>
  <c r="I19" i="9"/>
  <c r="I21" i="9" s="1"/>
  <c r="J35" i="9"/>
  <c r="J37" i="9" s="1"/>
  <c r="G29" i="9"/>
  <c r="G68" i="8"/>
  <c r="J86" i="8"/>
  <c r="J135" i="8"/>
  <c r="F135" i="8"/>
  <c r="F107" i="8"/>
  <c r="J123" i="8"/>
  <c r="J125" i="8" s="1"/>
  <c r="J60" i="8"/>
  <c r="F86" i="8"/>
  <c r="D68" i="8"/>
  <c r="F58" i="8"/>
  <c r="I58" i="8" s="1"/>
  <c r="I72" i="8"/>
  <c r="I93" i="8" s="1"/>
  <c r="E68" i="8"/>
  <c r="D76" i="8"/>
  <c r="F23" i="8"/>
  <c r="F10" i="8"/>
  <c r="I10" i="8" s="1"/>
  <c r="J10" i="8" s="1"/>
  <c r="J11" i="8" s="1"/>
  <c r="D37" i="8"/>
  <c r="J32" i="8"/>
  <c r="J29" i="8"/>
  <c r="I29" i="8"/>
  <c r="G28" i="8"/>
  <c r="F26" i="8"/>
  <c r="D25" i="8"/>
  <c r="J23" i="8"/>
  <c r="G19" i="8"/>
  <c r="E19" i="8"/>
  <c r="J14" i="8"/>
  <c r="J16" i="8" s="1"/>
  <c r="J17" i="8" s="1"/>
  <c r="D11" i="8"/>
  <c r="F9" i="8"/>
  <c r="I9" i="8" s="1"/>
  <c r="D33" i="25" l="1"/>
  <c r="J25" i="8"/>
  <c r="J27" i="8" s="1"/>
  <c r="J44" i="8"/>
  <c r="F37" i="8"/>
  <c r="F44" i="8"/>
  <c r="I47" i="9"/>
  <c r="H29" i="9"/>
  <c r="I25" i="9"/>
  <c r="I26" i="9"/>
  <c r="I27" i="9" s="1"/>
  <c r="J13" i="25"/>
  <c r="E16" i="25"/>
  <c r="G21" i="25"/>
  <c r="E6" i="25"/>
  <c r="E8" i="25"/>
  <c r="I25" i="25"/>
  <c r="I33" i="25" s="1"/>
  <c r="J29" i="9"/>
  <c r="D131" i="8"/>
  <c r="F28" i="25"/>
  <c r="J8" i="25"/>
  <c r="J6" i="25"/>
  <c r="J28" i="25"/>
  <c r="E28" i="25"/>
  <c r="F6" i="25"/>
  <c r="F8" i="25"/>
  <c r="E20" i="25"/>
  <c r="E40" i="25" s="1"/>
  <c r="D134" i="8"/>
  <c r="D136" i="8" s="1"/>
  <c r="J15" i="17"/>
  <c r="H6" i="17"/>
  <c r="L6" i="17" s="1"/>
  <c r="F123" i="8"/>
  <c r="F125" i="8" s="1"/>
  <c r="I122" i="8"/>
  <c r="F130" i="8"/>
  <c r="G28" i="17"/>
  <c r="F74" i="8"/>
  <c r="F76" i="8" s="1"/>
  <c r="I74" i="8"/>
  <c r="I76" i="8" s="1"/>
  <c r="F81" i="8"/>
  <c r="I81" i="8" s="1"/>
  <c r="K15" i="17"/>
  <c r="J126" i="8"/>
  <c r="K24" i="17"/>
  <c r="L24" i="17" s="1"/>
  <c r="I24" i="25" s="1"/>
  <c r="J77" i="8"/>
  <c r="J79" i="8" s="1"/>
  <c r="J82" i="8" s="1"/>
  <c r="I24" i="8"/>
  <c r="F32" i="8"/>
  <c r="I32" i="8" s="1"/>
  <c r="D40" i="9"/>
  <c r="D23" i="17"/>
  <c r="C23" i="25" s="1"/>
  <c r="D138" i="8"/>
  <c r="D15" i="17"/>
  <c r="C15" i="25" s="1"/>
  <c r="C36" i="25" s="1"/>
  <c r="C6" i="29" s="1"/>
  <c r="F15" i="17"/>
  <c r="L11" i="17"/>
  <c r="H13" i="17"/>
  <c r="D13" i="25" s="1"/>
  <c r="F20" i="17"/>
  <c r="F28" i="17"/>
  <c r="D30" i="9"/>
  <c r="F29" i="9"/>
  <c r="D46" i="9"/>
  <c r="J40" i="9"/>
  <c r="J43" i="9" s="1"/>
  <c r="J51" i="9" s="1"/>
  <c r="I38" i="9"/>
  <c r="J46" i="9"/>
  <c r="J48" i="9" s="1"/>
  <c r="I34" i="9"/>
  <c r="I35" i="9" s="1"/>
  <c r="F35" i="9"/>
  <c r="I107" i="8"/>
  <c r="I109" i="8" s="1"/>
  <c r="F109" i="8"/>
  <c r="F117" i="8" s="1"/>
  <c r="F118" i="8" s="1"/>
  <c r="J19" i="8"/>
  <c r="F68" i="8"/>
  <c r="D69" i="8"/>
  <c r="D89" i="8"/>
  <c r="J68" i="8"/>
  <c r="D79" i="8"/>
  <c r="D82" i="8" s="1"/>
  <c r="D85" i="8"/>
  <c r="D87" i="8" s="1"/>
  <c r="I60" i="8"/>
  <c r="F60" i="8"/>
  <c r="I86" i="8"/>
  <c r="F25" i="8"/>
  <c r="F27" i="8" s="1"/>
  <c r="F30" i="8" s="1"/>
  <c r="I28" i="8"/>
  <c r="J28" i="8"/>
  <c r="J36" i="8" s="1"/>
  <c r="D19" i="8"/>
  <c r="F19" i="8" s="1"/>
  <c r="J37" i="8"/>
  <c r="F11" i="8"/>
  <c r="I14" i="8"/>
  <c r="I16" i="8" s="1"/>
  <c r="I17" i="8" s="1"/>
  <c r="I23" i="8"/>
  <c r="I11" i="8"/>
  <c r="D27" i="8"/>
  <c r="L33" i="25" l="1"/>
  <c r="D139" i="8"/>
  <c r="D140" i="8"/>
  <c r="I123" i="8"/>
  <c r="I125" i="8" s="1"/>
  <c r="I142" i="8"/>
  <c r="J91" i="8"/>
  <c r="J90" i="8"/>
  <c r="D90" i="8"/>
  <c r="D91" i="8"/>
  <c r="I44" i="8"/>
  <c r="F50" i="9"/>
  <c r="J52" i="9"/>
  <c r="J50" i="9"/>
  <c r="F15" i="25"/>
  <c r="J11" i="25"/>
  <c r="J20" i="25"/>
  <c r="J40" i="25" s="1"/>
  <c r="D6" i="31" s="1"/>
  <c r="F138" i="8"/>
  <c r="D43" i="9"/>
  <c r="G15" i="25"/>
  <c r="G36" i="25" s="1"/>
  <c r="G6" i="29" s="1"/>
  <c r="G23" i="25"/>
  <c r="G32" i="25" s="1"/>
  <c r="C32" i="25"/>
  <c r="J15" i="25"/>
  <c r="E15" i="25"/>
  <c r="I77" i="8"/>
  <c r="I79" i="8" s="1"/>
  <c r="I82" i="8" s="1"/>
  <c r="J85" i="8"/>
  <c r="J87" i="8" s="1"/>
  <c r="F20" i="25"/>
  <c r="F40" i="25" s="1"/>
  <c r="H20" i="17"/>
  <c r="H40" i="17" s="1"/>
  <c r="J30" i="9"/>
  <c r="I25" i="8"/>
  <c r="I27" i="8" s="1"/>
  <c r="I30" i="8" s="1"/>
  <c r="I33" i="8" s="1"/>
  <c r="E21" i="25"/>
  <c r="L13" i="17"/>
  <c r="I13" i="25" s="1"/>
  <c r="I11" i="25"/>
  <c r="I117" i="8"/>
  <c r="I138" i="8" s="1"/>
  <c r="L8" i="17"/>
  <c r="I8" i="25" s="1"/>
  <c r="I6" i="25"/>
  <c r="H8" i="17"/>
  <c r="D8" i="25" s="1"/>
  <c r="D6" i="25"/>
  <c r="J128" i="8"/>
  <c r="I126" i="8"/>
  <c r="I127" i="8"/>
  <c r="I135" i="8" s="1"/>
  <c r="J134" i="8"/>
  <c r="J136" i="8" s="1"/>
  <c r="I130" i="8"/>
  <c r="H28" i="17"/>
  <c r="D32" i="17"/>
  <c r="D26" i="17"/>
  <c r="C26" i="25" s="1"/>
  <c r="G26" i="25" s="1"/>
  <c r="J117" i="8"/>
  <c r="D36" i="17"/>
  <c r="D16" i="17"/>
  <c r="C16" i="25" s="1"/>
  <c r="G16" i="25" s="1"/>
  <c r="H15" i="17"/>
  <c r="F30" i="9"/>
  <c r="I29" i="9"/>
  <c r="D48" i="9"/>
  <c r="J20" i="8"/>
  <c r="I37" i="9"/>
  <c r="I40" i="9" s="1"/>
  <c r="I43" i="9" s="1"/>
  <c r="F37" i="9"/>
  <c r="F40" i="9" s="1"/>
  <c r="F69" i="8"/>
  <c r="F89" i="8"/>
  <c r="I68" i="8"/>
  <c r="I69" i="8" s="1"/>
  <c r="F128" i="8"/>
  <c r="F131" i="8" s="1"/>
  <c r="F134" i="8"/>
  <c r="J69" i="8"/>
  <c r="J89" i="8"/>
  <c r="F79" i="8"/>
  <c r="F82" i="8" s="1"/>
  <c r="F85" i="8"/>
  <c r="J38" i="8"/>
  <c r="D20" i="8"/>
  <c r="D40" i="8"/>
  <c r="J40" i="8"/>
  <c r="J30" i="8"/>
  <c r="J33" i="8" s="1"/>
  <c r="F20" i="8"/>
  <c r="F40" i="8"/>
  <c r="I37" i="8"/>
  <c r="D36" i="8"/>
  <c r="D38" i="8" s="1"/>
  <c r="D30" i="8"/>
  <c r="D33" i="8" s="1"/>
  <c r="F36" i="8"/>
  <c r="F33" i="8"/>
  <c r="I134" i="8" l="1"/>
  <c r="F140" i="8"/>
  <c r="F139" i="8"/>
  <c r="I90" i="8"/>
  <c r="I91" i="8"/>
  <c r="F91" i="8"/>
  <c r="F90" i="8"/>
  <c r="F16" i="25"/>
  <c r="D41" i="8"/>
  <c r="D42" i="8"/>
  <c r="J42" i="8"/>
  <c r="J41" i="8"/>
  <c r="F42" i="8"/>
  <c r="F41" i="8"/>
  <c r="I41" i="8"/>
  <c r="D29" i="17"/>
  <c r="D37" i="17" s="1"/>
  <c r="D51" i="9"/>
  <c r="D52" i="9"/>
  <c r="I30" i="9"/>
  <c r="I50" i="9"/>
  <c r="I51" i="9"/>
  <c r="I52" i="9"/>
  <c r="I36" i="8"/>
  <c r="C29" i="25"/>
  <c r="C37" i="25" s="1"/>
  <c r="C6" i="28" s="1"/>
  <c r="D38" i="17"/>
  <c r="I85" i="8"/>
  <c r="I87" i="8" s="1"/>
  <c r="C6" i="26"/>
  <c r="C34" i="25"/>
  <c r="C6" i="30" s="1"/>
  <c r="G34" i="25"/>
  <c r="G6" i="30" s="1"/>
  <c r="G6" i="26"/>
  <c r="K40" i="25"/>
  <c r="E6" i="31" s="1"/>
  <c r="J16" i="25"/>
  <c r="E36" i="25"/>
  <c r="E6" i="29" s="1"/>
  <c r="F21" i="25"/>
  <c r="F36" i="25" s="1"/>
  <c r="F6" i="29" s="1"/>
  <c r="D15" i="25"/>
  <c r="I118" i="8"/>
  <c r="L28" i="17"/>
  <c r="I28" i="25" s="1"/>
  <c r="D28" i="25"/>
  <c r="E23" i="25"/>
  <c r="E32" i="25" s="1"/>
  <c r="H21" i="17"/>
  <c r="D21" i="25" s="1"/>
  <c r="D20" i="25"/>
  <c r="J131" i="8"/>
  <c r="J24" i="25"/>
  <c r="J21" i="25"/>
  <c r="J36" i="25" s="1"/>
  <c r="E7" i="29" s="1"/>
  <c r="I128" i="8"/>
  <c r="I131" i="8" s="1"/>
  <c r="I136" i="8"/>
  <c r="L20" i="17"/>
  <c r="L21" i="17" s="1"/>
  <c r="L23" i="17" s="1"/>
  <c r="D34" i="17"/>
  <c r="J118" i="8"/>
  <c r="J138" i="8"/>
  <c r="L15" i="17"/>
  <c r="H16" i="17"/>
  <c r="D16" i="25" s="1"/>
  <c r="I46" i="9"/>
  <c r="I48" i="9" s="1"/>
  <c r="F43" i="9"/>
  <c r="F46" i="9"/>
  <c r="I89" i="8"/>
  <c r="F136" i="8"/>
  <c r="F87" i="8"/>
  <c r="I19" i="8"/>
  <c r="I42" i="8" s="1"/>
  <c r="F38" i="8"/>
  <c r="D40" i="25" l="1"/>
  <c r="J139" i="8"/>
  <c r="J140" i="8"/>
  <c r="I140" i="8"/>
  <c r="I139" i="8"/>
  <c r="F51" i="9"/>
  <c r="F52" i="9"/>
  <c r="I38" i="8"/>
  <c r="C38" i="25"/>
  <c r="C6" i="27" s="1"/>
  <c r="G29" i="25"/>
  <c r="G38" i="25" s="1"/>
  <c r="G6" i="27" s="1"/>
  <c r="I20" i="25"/>
  <c r="I40" i="25" s="1"/>
  <c r="C6" i="31" s="1"/>
  <c r="L40" i="17"/>
  <c r="F26" i="25"/>
  <c r="F23" i="25"/>
  <c r="F32" i="25" s="1"/>
  <c r="F6" i="26" s="1"/>
  <c r="D36" i="25"/>
  <c r="D6" i="29" s="1"/>
  <c r="H36" i="17"/>
  <c r="E34" i="25"/>
  <c r="E6" i="30" s="1"/>
  <c r="E6" i="26"/>
  <c r="H23" i="17"/>
  <c r="D23" i="25" s="1"/>
  <c r="I21" i="25"/>
  <c r="E26" i="25"/>
  <c r="I15" i="25"/>
  <c r="J23" i="25"/>
  <c r="L16" i="17"/>
  <c r="I16" i="25" s="1"/>
  <c r="F48" i="9"/>
  <c r="I20" i="8"/>
  <c r="I40" i="8"/>
  <c r="L36" i="25" l="1"/>
  <c r="G7" i="29" s="1"/>
  <c r="D32" i="25"/>
  <c r="D34" i="25" s="1"/>
  <c r="D6" i="30" s="1"/>
  <c r="L32" i="25"/>
  <c r="L40" i="25"/>
  <c r="F6" i="31" s="1"/>
  <c r="K36" i="25"/>
  <c r="F7" i="29" s="1"/>
  <c r="G37" i="25"/>
  <c r="G6" i="28" s="1"/>
  <c r="F34" i="25"/>
  <c r="F6" i="30" s="1"/>
  <c r="E29" i="25"/>
  <c r="E37" i="25" s="1"/>
  <c r="E6" i="28" s="1"/>
  <c r="J32" i="25"/>
  <c r="E7" i="26" s="1"/>
  <c r="J26" i="25"/>
  <c r="K32" i="25"/>
  <c r="F7" i="26" s="1"/>
  <c r="K26" i="25"/>
  <c r="I23" i="25"/>
  <c r="H26" i="17"/>
  <c r="D26" i="25" s="1"/>
  <c r="I36" i="25"/>
  <c r="D7" i="29" s="1"/>
  <c r="H32" i="17"/>
  <c r="H34" i="17" s="1"/>
  <c r="L36" i="17"/>
  <c r="D6" i="26" l="1"/>
  <c r="L34" i="25"/>
  <c r="G7" i="30" s="1"/>
  <c r="G7" i="26"/>
  <c r="K37" i="25"/>
  <c r="F7" i="28" s="1"/>
  <c r="F29" i="25"/>
  <c r="F37" i="25" s="1"/>
  <c r="F6" i="28" s="1"/>
  <c r="K34" i="25"/>
  <c r="F7" i="30" s="1"/>
  <c r="J34" i="25"/>
  <c r="E7" i="30" s="1"/>
  <c r="E38" i="25"/>
  <c r="E6" i="27" s="1"/>
  <c r="J29" i="25"/>
  <c r="J38" i="25" s="1"/>
  <c r="E7" i="27" s="1"/>
  <c r="H29" i="17"/>
  <c r="I32" i="25"/>
  <c r="I34" i="25" s="1"/>
  <c r="D7" i="30" s="1"/>
  <c r="I26" i="25"/>
  <c r="L26" i="17"/>
  <c r="L29" i="17" s="1"/>
  <c r="L32" i="17"/>
  <c r="L34" i="17" s="1"/>
  <c r="K38" i="25" l="1"/>
  <c r="F7" i="27" s="1"/>
  <c r="F38" i="25"/>
  <c r="F6" i="27" s="1"/>
  <c r="D29" i="25"/>
  <c r="H37" i="17"/>
  <c r="H38" i="17"/>
  <c r="I29" i="25"/>
  <c r="I38" i="25" s="1"/>
  <c r="D7" i="27" s="1"/>
  <c r="L38" i="17"/>
  <c r="L37" i="17"/>
  <c r="J37" i="25"/>
  <c r="E7" i="28" s="1"/>
  <c r="D7" i="26"/>
  <c r="D38" i="25" l="1"/>
  <c r="D6" i="27" s="1"/>
  <c r="D37" i="25"/>
  <c r="D6" i="28" s="1"/>
  <c r="I37" i="25"/>
  <c r="D7" i="28" s="1"/>
  <c r="L37" i="25" l="1"/>
  <c r="G7" i="28" s="1"/>
  <c r="L38" i="25"/>
  <c r="G7" i="27" s="1"/>
</calcChain>
</file>

<file path=xl/comments1.xml><?xml version="1.0" encoding="utf-8"?>
<comments xmlns="http://schemas.openxmlformats.org/spreadsheetml/2006/main">
  <authors>
    <author>Salazar Cáceres Raúl Ismael</author>
  </authors>
  <commentList>
    <comment ref="B36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  <comment ref="B90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  <comment ref="B144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</commentList>
</comments>
</file>

<file path=xl/comments2.xml><?xml version="1.0" encoding="utf-8"?>
<comments xmlns="http://schemas.openxmlformats.org/spreadsheetml/2006/main">
  <authors>
    <author>Salazar Cáceres Raúl Ismael</author>
  </authors>
  <commentList>
    <comment ref="B75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  <comment ref="B124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</commentList>
</comments>
</file>

<file path=xl/comments3.xml><?xml version="1.0" encoding="utf-8"?>
<comments xmlns="http://schemas.openxmlformats.org/spreadsheetml/2006/main">
  <authors>
    <author>Salazar Cáceres Raúl Ismael</author>
  </authors>
  <commentList>
    <comment ref="B22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</commentList>
</comments>
</file>

<file path=xl/comments4.xml><?xml version="1.0" encoding="utf-8"?>
<comments xmlns="http://schemas.openxmlformats.org/spreadsheetml/2006/main">
  <authors>
    <author>Salazar Cáceres Raúl Ismael</author>
  </authors>
  <commentList>
    <comment ref="B22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</commentList>
</comments>
</file>

<file path=xl/comments5.xml><?xml version="1.0" encoding="utf-8"?>
<comments xmlns="http://schemas.openxmlformats.org/spreadsheetml/2006/main">
  <authors>
    <author>Salazar Cáceres Raúl Ismael</author>
  </authors>
  <commentList>
    <comment ref="B22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</commentList>
</comments>
</file>

<file path=xl/comments6.xml><?xml version="1.0" encoding="utf-8"?>
<comments xmlns="http://schemas.openxmlformats.org/spreadsheetml/2006/main">
  <authors>
    <author>Salazar Cáceres Raúl Ismael</author>
  </authors>
  <commentList>
    <comment ref="B22" authorId="0">
      <text>
        <r>
          <rPr>
            <b/>
            <sz val="9"/>
            <color indexed="81"/>
            <rFont val="Tahoma"/>
            <charset val="1"/>
          </rPr>
          <t>Salazar Cáceres Raúl Ismael:</t>
        </r>
        <r>
          <rPr>
            <sz val="9"/>
            <color indexed="81"/>
            <rFont val="Tahoma"/>
            <charset val="1"/>
          </rPr>
          <t xml:space="preserve">
Eliminar</t>
        </r>
      </text>
    </comment>
  </commentList>
</comments>
</file>

<file path=xl/sharedStrings.xml><?xml version="1.0" encoding="utf-8"?>
<sst xmlns="http://schemas.openxmlformats.org/spreadsheetml/2006/main" count="416" uniqueCount="108">
  <si>
    <t>Pre</t>
  </si>
  <si>
    <t>Post</t>
  </si>
  <si>
    <t>Post Cat</t>
  </si>
  <si>
    <t>Change  in UEP</t>
  </si>
  <si>
    <t>SurpS</t>
  </si>
  <si>
    <t>Cat XL</t>
  </si>
  <si>
    <t>Post Re</t>
  </si>
  <si>
    <t>A</t>
  </si>
  <si>
    <t>B</t>
  </si>
  <si>
    <t>C</t>
  </si>
  <si>
    <t>Reinsurance programme permutations         ==&gt;</t>
  </si>
  <si>
    <t>ROA</t>
  </si>
  <si>
    <t>ROE</t>
  </si>
  <si>
    <t>Premium paid</t>
  </si>
  <si>
    <t>loss suffered</t>
  </si>
  <si>
    <t>Cuota Parte - Oferta 1</t>
  </si>
  <si>
    <t>Reaseguro comprado</t>
  </si>
  <si>
    <t>Cuota Parte</t>
  </si>
  <si>
    <t>Cuota Parte (CP)</t>
  </si>
  <si>
    <t>Gastos bajo CP</t>
  </si>
  <si>
    <t>Ratio de siniestralidad</t>
  </si>
  <si>
    <t>estimado para CP</t>
  </si>
  <si>
    <t>Balance</t>
  </si>
  <si>
    <t>ACTIVOS</t>
  </si>
  <si>
    <t>Efectivo y títulos</t>
  </si>
  <si>
    <t>Otros activos</t>
  </si>
  <si>
    <t>PASIVOS</t>
  </si>
  <si>
    <t>Reserva   BRUTA</t>
  </si>
  <si>
    <t xml:space="preserve">                 CEDIDA</t>
  </si>
  <si>
    <t xml:space="preserve">                 NETA</t>
  </si>
  <si>
    <t>PATRIMONIO</t>
  </si>
  <si>
    <t>Primas suscriptas</t>
  </si>
  <si>
    <t>bajo contrato CP</t>
  </si>
  <si>
    <t>Estado de Resultados</t>
  </si>
  <si>
    <t>Primas Brutas</t>
  </si>
  <si>
    <t>Primas Cedidas</t>
  </si>
  <si>
    <t>Primas Netas</t>
  </si>
  <si>
    <t>Primas devengadas</t>
  </si>
  <si>
    <t>Siniestros</t>
  </si>
  <si>
    <t>Gastos</t>
  </si>
  <si>
    <t>Ingreso por seguros</t>
  </si>
  <si>
    <t>Ingreso por inversiones</t>
  </si>
  <si>
    <t>Ingreso Neto</t>
  </si>
  <si>
    <t>Ratio de gastos</t>
  </si>
  <si>
    <t>Ratio combinado</t>
  </si>
  <si>
    <t>Primas/patrimonio</t>
  </si>
  <si>
    <t>Primas cedidas</t>
  </si>
  <si>
    <t>Siniestralidad del año</t>
  </si>
  <si>
    <t>Siniestro 1</t>
  </si>
  <si>
    <t>Siniestro 2</t>
  </si>
  <si>
    <t>Siniestro 3</t>
  </si>
  <si>
    <t>Siniestro 4</t>
  </si>
  <si>
    <t>Siniestro 5</t>
  </si>
  <si>
    <t>Siniestro 6</t>
  </si>
  <si>
    <t>Siniestro 7</t>
  </si>
  <si>
    <t>Siniestro 8</t>
  </si>
  <si>
    <t>Siniestro 9</t>
  </si>
  <si>
    <t>Siniestro 10</t>
  </si>
  <si>
    <t>Siniestro 11</t>
  </si>
  <si>
    <t>Post CP</t>
  </si>
  <si>
    <t>Sin CP</t>
  </si>
  <si>
    <t>Eventos</t>
  </si>
  <si>
    <t>Cuota Parte - Oferta 2</t>
  </si>
  <si>
    <t>Cuota Parte - Oferta 3</t>
  </si>
  <si>
    <t>Exceso de Pérdida - Oferta 1</t>
  </si>
  <si>
    <t>Exceso de Pérdida - Oferta 2</t>
  </si>
  <si>
    <t>Exceso de Pérdida - Oferta 3</t>
  </si>
  <si>
    <t>Primer evento</t>
  </si>
  <si>
    <t>Segundo evento</t>
  </si>
  <si>
    <t>Exceso de Pérdida</t>
  </si>
  <si>
    <t>Sin reaseguro</t>
  </si>
  <si>
    <t>Límite asegurado (un tramo)</t>
  </si>
  <si>
    <t>Prima</t>
  </si>
  <si>
    <t>Retención</t>
  </si>
  <si>
    <t>Límite asegurado (1er tramo)</t>
  </si>
  <si>
    <t>4,000 en exceso del 1er tramo de 4,000 (2nd tramo)</t>
  </si>
  <si>
    <t>Reinstalación (única y autom.)</t>
  </si>
  <si>
    <t>Cobertura 2do evento  (límite 4,000) Cobertura via transferencia del riesgo al mercado de capitales (gatillo paramétrico: pago si EQ &gt;7.0 Escala Richter)</t>
  </si>
  <si>
    <t>Siniestralidad - Riesgos a la propiedad (casas residenciales)</t>
  </si>
  <si>
    <t>Informe de pérdidas del año</t>
  </si>
  <si>
    <t>Siniestralidad - Riesgos por terremoto (central eléctrica)</t>
  </si>
  <si>
    <t>Terremoto con fecha 10-9</t>
  </si>
  <si>
    <t>Epicentro a 50km de la central</t>
  </si>
  <si>
    <t>Escala Richter 7.2</t>
  </si>
  <si>
    <t xml:space="preserve">Pérdidas sufridas por la central eléctrica </t>
  </si>
  <si>
    <t>Terremoto con fecha 11-9</t>
  </si>
  <si>
    <t>Epicentro a 300km de la central</t>
  </si>
  <si>
    <t>Pre reaseguro</t>
  </si>
  <si>
    <t>Post evento</t>
  </si>
  <si>
    <t>Pre reaseg</t>
  </si>
  <si>
    <t>Post reaseg</t>
  </si>
  <si>
    <t>Sin reaseg</t>
  </si>
  <si>
    <t>Post eventos</t>
  </si>
  <si>
    <t>Pre-reaseguro</t>
  </si>
  <si>
    <t>Aseguradora A</t>
  </si>
  <si>
    <t>Aseguradora B</t>
  </si>
  <si>
    <t>Aseguradora C</t>
  </si>
  <si>
    <t>Ratio siniestralidad (pre evento)</t>
  </si>
  <si>
    <t>Ratio siniestralidad (post evento)</t>
  </si>
  <si>
    <t>Ratio combinado (pre evento)</t>
  </si>
  <si>
    <t>Ratio combinado (post evento)</t>
  </si>
  <si>
    <t>Primas/patrimonio (pre evento)</t>
  </si>
  <si>
    <t>Primas/patrimonio (post evento)</t>
  </si>
  <si>
    <t>ROE (pre evento)</t>
  </si>
  <si>
    <t>ROE (post evento)</t>
  </si>
  <si>
    <t>ROA (pre evento)</t>
  </si>
  <si>
    <t>ROA (post evento)</t>
  </si>
  <si>
    <t>Primas cedidas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</si>
</sst>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5" fontId="2" fillId="0" borderId="0" xfId="1" applyNumberFormat="1" applyFont="1"/>
    <xf numFmtId="165" fontId="2" fillId="0" borderId="2" xfId="1" applyNumberFormat="1" applyFont="1" applyBorder="1"/>
    <xf numFmtId="165" fontId="2" fillId="0" borderId="0" xfId="1" applyNumberFormat="1" applyFont="1" applyBorder="1"/>
    <xf numFmtId="165" fontId="2" fillId="0" borderId="1" xfId="1" applyNumberFormat="1" applyFont="1" applyBorder="1"/>
    <xf numFmtId="9" fontId="2" fillId="0" borderId="0" xfId="2" applyFont="1"/>
    <xf numFmtId="9" fontId="6" fillId="0" borderId="0" xfId="2" applyFont="1"/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2" fillId="3" borderId="6" xfId="1" applyNumberFormat="1" applyFont="1" applyFill="1" applyBorder="1"/>
    <xf numFmtId="0" fontId="2" fillId="3" borderId="7" xfId="0" applyFont="1" applyFill="1" applyBorder="1"/>
    <xf numFmtId="165" fontId="2" fillId="3" borderId="8" xfId="1" applyNumberFormat="1" applyFont="1" applyFill="1" applyBorder="1"/>
    <xf numFmtId="0" fontId="2" fillId="3" borderId="8" xfId="0" applyFont="1" applyFill="1" applyBorder="1"/>
    <xf numFmtId="165" fontId="2" fillId="0" borderId="9" xfId="0" applyNumberFormat="1" applyFont="1" applyBorder="1"/>
    <xf numFmtId="0" fontId="3" fillId="0" borderId="0" xfId="0" applyFont="1" applyAlignment="1">
      <alignment horizontal="center"/>
    </xf>
    <xf numFmtId="9" fontId="2" fillId="3" borderId="6" xfId="2" applyFont="1" applyFill="1" applyBorder="1"/>
    <xf numFmtId="165" fontId="2" fillId="0" borderId="9" xfId="1" applyNumberFormat="1" applyFont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7" xfId="0" applyFont="1" applyFill="1" applyBorder="1"/>
    <xf numFmtId="0" fontId="5" fillId="0" borderId="0" xfId="0" applyFont="1" applyAlignment="1">
      <alignment horizontal="center"/>
    </xf>
    <xf numFmtId="9" fontId="2" fillId="4" borderId="8" xfId="2" applyFont="1" applyFill="1" applyBorder="1"/>
    <xf numFmtId="165" fontId="2" fillId="5" borderId="0" xfId="1" applyNumberFormat="1" applyFont="1" applyFill="1"/>
    <xf numFmtId="165" fontId="2" fillId="0" borderId="0" xfId="0" applyNumberFormat="1" applyFont="1"/>
    <xf numFmtId="0" fontId="2" fillId="0" borderId="2" xfId="0" applyFont="1" applyBorder="1"/>
    <xf numFmtId="0" fontId="2" fillId="0" borderId="1" xfId="0" applyFont="1" applyBorder="1"/>
    <xf numFmtId="165" fontId="2" fillId="0" borderId="2" xfId="0" applyNumberFormat="1" applyFont="1" applyBorder="1"/>
    <xf numFmtId="165" fontId="2" fillId="0" borderId="1" xfId="0" applyNumberFormat="1" applyFont="1" applyBorder="1"/>
    <xf numFmtId="0" fontId="2" fillId="0" borderId="0" xfId="0" applyFont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0" xfId="0" applyFont="1" applyFill="1" applyBorder="1"/>
    <xf numFmtId="0" fontId="2" fillId="3" borderId="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9" fontId="0" fillId="0" borderId="0" xfId="0" applyNumberFormat="1"/>
    <xf numFmtId="165" fontId="2" fillId="6" borderId="0" xfId="1" applyNumberFormat="1" applyFont="1" applyFill="1"/>
    <xf numFmtId="165" fontId="0" fillId="0" borderId="0" xfId="0" applyNumberFormat="1"/>
    <xf numFmtId="0" fontId="2" fillId="3" borderId="7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RatioSiniestr'!$B$6</c:f>
              <c:strCache>
                <c:ptCount val="1"/>
                <c:pt idx="0">
                  <c:v>Ratio siniestralidad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RatioSiniestr'!$C$5:$G$5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RatioSiniestr'!$C$6:$G$6</c:f>
              <c:numCache>
                <c:formatCode>0%</c:formatCode>
                <c:ptCount val="5"/>
                <c:pt idx="0">
                  <c:v>0.625</c:v>
                </c:pt>
                <c:pt idx="1">
                  <c:v>0.70932689405372773</c:v>
                </c:pt>
                <c:pt idx="2">
                  <c:v>0.69362455726092087</c:v>
                </c:pt>
                <c:pt idx="3">
                  <c:v>0.67142857142857137</c:v>
                </c:pt>
                <c:pt idx="4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'Gráfico RatioSiniestr'!$B$7</c:f>
              <c:strCache>
                <c:ptCount val="1"/>
                <c:pt idx="0">
                  <c:v>Ratio siniestralidad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RatioSiniestr'!$C$5:$G$5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RatioSiniestr'!$C$7:$G$7</c:f>
              <c:numCache>
                <c:formatCode>0%</c:formatCode>
                <c:ptCount val="5"/>
                <c:pt idx="1">
                  <c:v>0.72556595230908538</c:v>
                </c:pt>
                <c:pt idx="2">
                  <c:v>0.73744807121661726</c:v>
                </c:pt>
                <c:pt idx="3">
                  <c:v>0.75371428571428567</c:v>
                </c:pt>
                <c:pt idx="4">
                  <c:v>0.95106382978723403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1360"/>
        <c:axId val="100265344"/>
      </c:barChart>
      <c:catAx>
        <c:axId val="11643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431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RatioComb'!$B$6</c:f>
              <c:strCache>
                <c:ptCount val="1"/>
                <c:pt idx="0">
                  <c:v>Ratio combinado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RatioComb'!$C$5:$G$5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RatioComb'!$C$6:$G$6</c:f>
              <c:numCache>
                <c:formatCode>0%</c:formatCode>
                <c:ptCount val="5"/>
                <c:pt idx="0">
                  <c:v>0.83776595744680848</c:v>
                </c:pt>
                <c:pt idx="1">
                  <c:v>0.90996519192606817</c:v>
                </c:pt>
                <c:pt idx="2">
                  <c:v>0.89617774875028255</c:v>
                </c:pt>
                <c:pt idx="3">
                  <c:v>0.87781155015197565</c:v>
                </c:pt>
                <c:pt idx="4">
                  <c:v>0.83776595744680848</c:v>
                </c:pt>
              </c:numCache>
            </c:numRef>
          </c:val>
        </c:ser>
        <c:ser>
          <c:idx val="1"/>
          <c:order val="1"/>
          <c:tx>
            <c:strRef>
              <c:f>'Gráfico RatioComb'!$B$7</c:f>
              <c:strCache>
                <c:ptCount val="1"/>
                <c:pt idx="0">
                  <c:v>Ratio combinado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RatioComb'!$C$5:$G$5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RatioComb'!$C$7:$G$7</c:f>
              <c:numCache>
                <c:formatCode>0%</c:formatCode>
                <c:ptCount val="5"/>
                <c:pt idx="1">
                  <c:v>0.92620425018142583</c:v>
                </c:pt>
                <c:pt idx="2">
                  <c:v>0.94000126270597895</c:v>
                </c:pt>
                <c:pt idx="3">
                  <c:v>0.96009726443768995</c:v>
                </c:pt>
                <c:pt idx="4">
                  <c:v>1.1638297872340426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39168"/>
        <c:axId val="100267648"/>
      </c:barChart>
      <c:catAx>
        <c:axId val="7763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67648"/>
        <c:crosses val="autoZero"/>
        <c:auto val="1"/>
        <c:lblAlgn val="ctr"/>
        <c:lblOffset val="100"/>
        <c:noMultiLvlLbl val="0"/>
      </c:catAx>
      <c:valAx>
        <c:axId val="100267648"/>
        <c:scaling>
          <c:orientation val="minMax"/>
          <c:max val="1.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3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PrimasPatrimonio'!$B$6</c:f>
              <c:strCache>
                <c:ptCount val="1"/>
                <c:pt idx="0">
                  <c:v>Primas/patrimonio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PrimasPatrimonio'!$C$5:$G$5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PrimasPatrimonio'!$C$6:$G$6</c:f>
              <c:numCache>
                <c:formatCode>0%</c:formatCode>
                <c:ptCount val="5"/>
                <c:pt idx="0">
                  <c:v>2.1860465116279069</c:v>
                </c:pt>
                <c:pt idx="1">
                  <c:v>2.12127032910744</c:v>
                </c:pt>
                <c:pt idx="2">
                  <c:v>2.1292106586224233</c:v>
                </c:pt>
                <c:pt idx="3">
                  <c:v>2.1712158808933002</c:v>
                </c:pt>
                <c:pt idx="4">
                  <c:v>2.1860465116279069</c:v>
                </c:pt>
              </c:numCache>
            </c:numRef>
          </c:val>
        </c:ser>
        <c:ser>
          <c:idx val="1"/>
          <c:order val="1"/>
          <c:tx>
            <c:strRef>
              <c:f>'Gráfico PrimasPatrimonio'!$B$7</c:f>
              <c:strCache>
                <c:ptCount val="1"/>
                <c:pt idx="0">
                  <c:v>Primas/patrimonio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PrimasPatrimonio'!$C$5:$G$5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PrimasPatrimonio'!$C$7:$G$7</c:f>
              <c:numCache>
                <c:formatCode>0%</c:formatCode>
                <c:ptCount val="5"/>
                <c:pt idx="1">
                  <c:v>2.17845870594424</c:v>
                </c:pt>
                <c:pt idx="2">
                  <c:v>2.2629599785119527</c:v>
                </c:pt>
                <c:pt idx="3">
                  <c:v>2.4104683195592287</c:v>
                </c:pt>
                <c:pt idx="4">
                  <c:v>5.0133333333333336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7856"/>
        <c:axId val="116047872"/>
      </c:barChart>
      <c:catAx>
        <c:axId val="11589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47872"/>
        <c:crosses val="autoZero"/>
        <c:auto val="1"/>
        <c:lblAlgn val="ctr"/>
        <c:lblOffset val="100"/>
        <c:noMultiLvlLbl val="0"/>
      </c:catAx>
      <c:valAx>
        <c:axId val="116047872"/>
        <c:scaling>
          <c:orientation val="minMax"/>
          <c:max val="5.5"/>
          <c:min val="1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897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ROE'!$B$6</c:f>
              <c:strCache>
                <c:ptCount val="1"/>
                <c:pt idx="0">
                  <c:v>ROE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ROE'!$C$5:$G$5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ROE'!$C$6:$G$6</c:f>
              <c:numCache>
                <c:formatCode>0%</c:formatCode>
                <c:ptCount val="5"/>
                <c:pt idx="0">
                  <c:v>0.39534883720930231</c:v>
                </c:pt>
                <c:pt idx="1">
                  <c:v>0.17838391599436548</c:v>
                </c:pt>
                <c:pt idx="2">
                  <c:v>0.21769733534439417</c:v>
                </c:pt>
                <c:pt idx="3">
                  <c:v>0.27543424317617865</c:v>
                </c:pt>
                <c:pt idx="4">
                  <c:v>0.39534883720930231</c:v>
                </c:pt>
              </c:numCache>
            </c:numRef>
          </c:val>
        </c:ser>
        <c:ser>
          <c:idx val="1"/>
          <c:order val="1"/>
          <c:tx>
            <c:strRef>
              <c:f>'Gráfico ROE'!$B$7</c:f>
              <c:strCache>
                <c:ptCount val="1"/>
                <c:pt idx="0">
                  <c:v>ROE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ROE'!$C$5:$G$5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ROE'!$C$7:$G$7</c:f>
              <c:numCache>
                <c:formatCode>0%</c:formatCode>
                <c:ptCount val="5"/>
                <c:pt idx="1">
                  <c:v>0.14781693845344557</c:v>
                </c:pt>
                <c:pt idx="2">
                  <c:v>0.1297340854149879</c:v>
                </c:pt>
                <c:pt idx="3">
                  <c:v>0.10743801652892562</c:v>
                </c:pt>
                <c:pt idx="4">
                  <c:v>-0.72799999999999998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9904"/>
        <c:axId val="116050176"/>
      </c:barChart>
      <c:catAx>
        <c:axId val="11589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50176"/>
        <c:crosses val="autoZero"/>
        <c:auto val="1"/>
        <c:lblAlgn val="ctr"/>
        <c:lblOffset val="100"/>
        <c:noMultiLvlLbl val="0"/>
      </c:catAx>
      <c:valAx>
        <c:axId val="116050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899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53893263342077E-2"/>
          <c:y val="2.3280949045175289E-2"/>
          <c:w val="0.88363993389715179"/>
          <c:h val="0.82341270079675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ROA'!$B$6</c:f>
              <c:strCache>
                <c:ptCount val="1"/>
                <c:pt idx="0">
                  <c:v>ROA (pre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ROA'!$C$5:$G$5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ROA'!$C$6:$G$6</c:f>
              <c:numCache>
                <c:formatCode>0%</c:formatCode>
                <c:ptCount val="5"/>
                <c:pt idx="0">
                  <c:v>0.10608424336973479</c:v>
                </c:pt>
                <c:pt idx="1">
                  <c:v>4.6366874147055884E-2</c:v>
                </c:pt>
                <c:pt idx="2">
                  <c:v>5.7007438614969388E-2</c:v>
                </c:pt>
                <c:pt idx="3">
                  <c:v>7.1914480077745382E-2</c:v>
                </c:pt>
                <c:pt idx="4">
                  <c:v>0.10608424336973479</c:v>
                </c:pt>
              </c:numCache>
            </c:numRef>
          </c:val>
        </c:ser>
        <c:ser>
          <c:idx val="1"/>
          <c:order val="1"/>
          <c:tx>
            <c:strRef>
              <c:f>'Gráfico ROA'!$B$7</c:f>
              <c:strCache>
                <c:ptCount val="1"/>
                <c:pt idx="0">
                  <c:v>ROA (post evento)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ROA'!$C$5:$G$5</c:f>
              <c:strCache>
                <c:ptCount val="5"/>
                <c:pt idx="0">
                  <c:v>Pre-reaseguro</c:v>
                </c:pt>
                <c:pt idx="1">
                  <c:v>Aseguradora A</c:v>
                </c:pt>
                <c:pt idx="2">
                  <c:v>Aseguradora B</c:v>
                </c:pt>
                <c:pt idx="3">
                  <c:v>Aseguradora C</c:v>
                </c:pt>
                <c:pt idx="4">
                  <c:v>Sin reaseguro</c:v>
                </c:pt>
              </c:strCache>
            </c:strRef>
          </c:cat>
          <c:val>
            <c:numRef>
              <c:f>'Gráfico ROA'!$C$7:$G$7</c:f>
              <c:numCache>
                <c:formatCode>0%</c:formatCode>
                <c:ptCount val="5"/>
                <c:pt idx="1">
                  <c:v>3.7413041307459309E-2</c:v>
                </c:pt>
                <c:pt idx="2">
                  <c:v>3.188960781724548E-2</c:v>
                </c:pt>
                <c:pt idx="3">
                  <c:v>2.5267249757045675E-2</c:v>
                </c:pt>
                <c:pt idx="4">
                  <c:v>-8.5179407176287053E-2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8800"/>
        <c:axId val="116052480"/>
      </c:barChart>
      <c:catAx>
        <c:axId val="11642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52480"/>
        <c:crosses val="autoZero"/>
        <c:auto val="1"/>
        <c:lblAlgn val="ctr"/>
        <c:lblOffset val="100"/>
        <c:noMultiLvlLbl val="0"/>
      </c:catAx>
      <c:valAx>
        <c:axId val="116052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428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853893263342077E-2"/>
          <c:y val="2.3280949045175289E-2"/>
          <c:w val="0.88363993389715179"/>
          <c:h val="0.82341270079675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PrimasCedidas'!$B$6</c:f>
              <c:strCache>
                <c:ptCount val="1"/>
                <c:pt idx="0">
                  <c:v>Primas cedidas (%)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PrimasCedidas'!$C$5:$F$5</c:f>
              <c:strCache>
                <c:ptCount val="4"/>
                <c:pt idx="0">
                  <c:v>Aseguradora A</c:v>
                </c:pt>
                <c:pt idx="1">
                  <c:v>Aseguradora B</c:v>
                </c:pt>
                <c:pt idx="2">
                  <c:v>Aseguradora C</c:v>
                </c:pt>
                <c:pt idx="3">
                  <c:v>Sin reaseguro</c:v>
                </c:pt>
              </c:strCache>
            </c:strRef>
          </c:cat>
          <c:val>
            <c:numRef>
              <c:f>'Gráfico PrimasCedidas'!$C$6:$F$6</c:f>
              <c:numCache>
                <c:formatCode>0%</c:formatCode>
                <c:ptCount val="4"/>
                <c:pt idx="0">
                  <c:v>0.11888297872340425</c:v>
                </c:pt>
                <c:pt idx="1">
                  <c:v>0.10372340425531915</c:v>
                </c:pt>
                <c:pt idx="2">
                  <c:v>6.9148936170212769E-2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32320"/>
        <c:axId val="116054784"/>
      </c:barChart>
      <c:catAx>
        <c:axId val="1174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54784"/>
        <c:crosses val="autoZero"/>
        <c:auto val="1"/>
        <c:lblAlgn val="ctr"/>
        <c:lblOffset val="100"/>
        <c:noMultiLvlLbl val="0"/>
      </c:catAx>
      <c:valAx>
        <c:axId val="116054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7432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11</xdr:col>
      <xdr:colOff>66675</xdr:colOff>
      <xdr:row>20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11</xdr:col>
      <xdr:colOff>85725</xdr:colOff>
      <xdr:row>20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52386</xdr:rowOff>
    </xdr:from>
    <xdr:to>
      <xdr:col>8</xdr:col>
      <xdr:colOff>542925</xdr:colOff>
      <xdr:row>21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90486</xdr:rowOff>
    </xdr:from>
    <xdr:to>
      <xdr:col>8</xdr:col>
      <xdr:colOff>533399</xdr:colOff>
      <xdr:row>21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71437</xdr:rowOff>
    </xdr:from>
    <xdr:to>
      <xdr:col>9</xdr:col>
      <xdr:colOff>76200</xdr:colOff>
      <xdr:row>21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9</xdr:col>
      <xdr:colOff>66675</xdr:colOff>
      <xdr:row>21</xdr:row>
      <xdr:rowOff>61913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tables%20DRAFT%2013-Jun-14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insurers"/>
      <sheetName val="Exercise"/>
      <sheetName val="Worksheet"/>
      <sheetName val="Reinsurance offered"/>
      <sheetName val="Losses"/>
      <sheetName val="QuotaShare"/>
      <sheetName val="SurplusShare"/>
      <sheetName val="CatXL"/>
      <sheetName val="Insurer A"/>
      <sheetName val="Insurer B"/>
      <sheetName val="Insurer C"/>
      <sheetName val="Comparing A, B &amp; C"/>
      <sheetName val="Permutation analysis"/>
      <sheetName val="Comparing A, B &amp; C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Balance sheet</v>
          </cell>
        </row>
        <row r="22">
          <cell r="D22">
            <v>0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2"/>
  <sheetViews>
    <sheetView topLeftCell="A175" zoomScaleNormal="100" workbookViewId="0">
      <selection activeCell="B144" sqref="B144"/>
    </sheetView>
  </sheetViews>
  <sheetFormatPr baseColWidth="10" defaultColWidth="9.140625" defaultRowHeight="15.75" x14ac:dyDescent="0.25"/>
  <cols>
    <col min="1" max="1" width="9.140625" style="1"/>
    <col min="2" max="2" width="24.85546875" style="1" customWidth="1"/>
    <col min="3" max="3" width="4.5703125" style="1" customWidth="1"/>
    <col min="4" max="4" width="10.5703125" style="1" customWidth="1"/>
    <col min="5" max="5" width="24.42578125" style="1" customWidth="1"/>
    <col min="6" max="6" width="11.42578125" style="1" customWidth="1"/>
    <col min="7" max="7" width="9.5703125" style="1" customWidth="1"/>
    <col min="8" max="8" width="9.140625" style="1"/>
    <col min="9" max="9" width="10.7109375" style="1" customWidth="1"/>
    <col min="10" max="10" width="14.140625" style="1" customWidth="1"/>
    <col min="11" max="11" width="12.7109375" style="1" customWidth="1"/>
  </cols>
  <sheetData>
    <row r="1" spans="2:10" x14ac:dyDescent="0.25">
      <c r="B1" s="2"/>
    </row>
    <row r="2" spans="2:10" x14ac:dyDescent="0.25">
      <c r="B2" s="2"/>
    </row>
    <row r="3" spans="2:10" x14ac:dyDescent="0.25">
      <c r="B3" s="10" t="s">
        <v>15</v>
      </c>
      <c r="E3" s="11" t="s">
        <v>16</v>
      </c>
      <c r="F3" s="12"/>
      <c r="H3" s="3" t="s">
        <v>47</v>
      </c>
    </row>
    <row r="4" spans="2:10" x14ac:dyDescent="0.25">
      <c r="B4" s="2"/>
      <c r="E4" s="13" t="s">
        <v>18</v>
      </c>
      <c r="F4" s="20">
        <v>0.95</v>
      </c>
      <c r="H4" s="1" t="s">
        <v>48</v>
      </c>
      <c r="J4" s="4">
        <v>200</v>
      </c>
    </row>
    <row r="5" spans="2:10" x14ac:dyDescent="0.25">
      <c r="B5" s="2"/>
      <c r="E5" s="13"/>
      <c r="F5" s="14"/>
      <c r="H5" s="1" t="s">
        <v>49</v>
      </c>
      <c r="J5" s="4">
        <v>30</v>
      </c>
    </row>
    <row r="6" spans="2:10" x14ac:dyDescent="0.25">
      <c r="B6" s="2"/>
      <c r="E6" s="13" t="s">
        <v>31</v>
      </c>
      <c r="F6" s="14"/>
      <c r="H6" s="1" t="s">
        <v>50</v>
      </c>
      <c r="J6" s="4">
        <v>50</v>
      </c>
    </row>
    <row r="7" spans="2:10" x14ac:dyDescent="0.25">
      <c r="B7" s="2"/>
      <c r="E7" s="13" t="s">
        <v>32</v>
      </c>
      <c r="F7" s="14">
        <v>1600</v>
      </c>
      <c r="H7" s="1" t="s">
        <v>51</v>
      </c>
      <c r="J7" s="4">
        <v>110</v>
      </c>
    </row>
    <row r="8" spans="2:10" x14ac:dyDescent="0.25">
      <c r="B8" s="2"/>
      <c r="E8" s="13" t="s">
        <v>19</v>
      </c>
      <c r="F8" s="14">
        <v>240</v>
      </c>
      <c r="H8" s="1" t="s">
        <v>52</v>
      </c>
      <c r="J8" s="4">
        <v>130</v>
      </c>
    </row>
    <row r="9" spans="2:10" x14ac:dyDescent="0.25">
      <c r="B9" s="2"/>
      <c r="E9" s="15"/>
      <c r="F9" s="17"/>
      <c r="H9" s="1" t="s">
        <v>53</v>
      </c>
      <c r="J9" s="4">
        <v>170</v>
      </c>
    </row>
    <row r="10" spans="2:10" x14ac:dyDescent="0.25">
      <c r="B10" s="2"/>
      <c r="E10" s="2"/>
      <c r="F10" s="2"/>
      <c r="H10" s="1" t="s">
        <v>54</v>
      </c>
      <c r="J10" s="4">
        <v>150</v>
      </c>
    </row>
    <row r="11" spans="2:10" x14ac:dyDescent="0.25">
      <c r="B11" s="2"/>
      <c r="E11" s="22" t="s">
        <v>20</v>
      </c>
      <c r="F11" s="23"/>
      <c r="H11" s="1" t="s">
        <v>55</v>
      </c>
      <c r="J11" s="4">
        <v>60</v>
      </c>
    </row>
    <row r="12" spans="2:10" x14ac:dyDescent="0.25">
      <c r="B12" s="2"/>
      <c r="E12" s="24" t="s">
        <v>21</v>
      </c>
      <c r="F12" s="26">
        <v>0.8</v>
      </c>
      <c r="H12" s="1" t="s">
        <v>56</v>
      </c>
      <c r="J12" s="4">
        <v>190</v>
      </c>
    </row>
    <row r="13" spans="2:10" x14ac:dyDescent="0.25">
      <c r="B13" s="2"/>
      <c r="E13" s="2"/>
      <c r="F13" s="2"/>
      <c r="H13" s="1" t="s">
        <v>57</v>
      </c>
      <c r="J13" s="4">
        <v>200</v>
      </c>
    </row>
    <row r="14" spans="2:10" x14ac:dyDescent="0.25">
      <c r="B14" s="2"/>
      <c r="E14" s="2"/>
      <c r="F14" s="2"/>
      <c r="H14" s="1" t="s">
        <v>58</v>
      </c>
      <c r="J14" s="4">
        <v>90</v>
      </c>
    </row>
    <row r="15" spans="2:10" ht="16.5" thickBot="1" x14ac:dyDescent="0.3">
      <c r="B15" s="2"/>
      <c r="E15" s="2"/>
      <c r="F15" s="2"/>
      <c r="J15" s="18">
        <f>SUM(J4:J14)</f>
        <v>1380</v>
      </c>
    </row>
    <row r="16" spans="2:10" ht="16.5" thickTop="1" x14ac:dyDescent="0.25"/>
    <row r="17" spans="2:11" x14ac:dyDescent="0.25">
      <c r="B17" s="2" t="s">
        <v>22</v>
      </c>
      <c r="D17" s="19" t="s">
        <v>0</v>
      </c>
      <c r="E17" s="19" t="s">
        <v>17</v>
      </c>
      <c r="F17" s="19" t="s">
        <v>1</v>
      </c>
      <c r="G17" s="51" t="s">
        <v>61</v>
      </c>
      <c r="H17" s="51"/>
      <c r="I17" s="19" t="s">
        <v>59</v>
      </c>
      <c r="J17" s="19" t="s">
        <v>60</v>
      </c>
    </row>
    <row r="18" spans="2:11" x14ac:dyDescent="0.25">
      <c r="B18" s="1" t="s">
        <v>23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25">
      <c r="B19" s="1" t="s">
        <v>24</v>
      </c>
      <c r="C19" s="4"/>
      <c r="D19" s="4">
        <v>19800</v>
      </c>
      <c r="E19" s="4">
        <f>-(F7*F4-F8*F4)</f>
        <v>-1292</v>
      </c>
      <c r="F19" s="4">
        <f>D19+E19</f>
        <v>18508</v>
      </c>
      <c r="G19" s="4"/>
      <c r="H19" s="4"/>
      <c r="I19" s="4">
        <f>F19</f>
        <v>18508</v>
      </c>
      <c r="J19" s="4">
        <f>D19</f>
        <v>19800</v>
      </c>
      <c r="K19" s="4"/>
    </row>
    <row r="20" spans="2:11" x14ac:dyDescent="0.25">
      <c r="B20" s="1" t="s">
        <v>25</v>
      </c>
      <c r="C20" s="4"/>
      <c r="D20" s="4">
        <v>12250</v>
      </c>
      <c r="E20" s="4"/>
      <c r="F20" s="4">
        <f>D20+E20</f>
        <v>12250</v>
      </c>
      <c r="G20" s="4"/>
      <c r="H20" s="4"/>
      <c r="I20" s="4">
        <f>F20</f>
        <v>12250</v>
      </c>
      <c r="J20" s="4">
        <f t="shared" ref="J20" si="0">H20+I20</f>
        <v>12250</v>
      </c>
      <c r="K20" s="4"/>
    </row>
    <row r="21" spans="2:11" ht="16.5" thickBot="1" x14ac:dyDescent="0.3">
      <c r="C21" s="4"/>
      <c r="D21" s="5">
        <f>D19+D20</f>
        <v>32050</v>
      </c>
      <c r="E21" s="4"/>
      <c r="F21" s="5">
        <f>F19+F20</f>
        <v>30758</v>
      </c>
      <c r="G21" s="6"/>
      <c r="H21" s="4"/>
      <c r="I21" s="5">
        <f t="shared" ref="I21:J21" si="1">I19+I20</f>
        <v>30758</v>
      </c>
      <c r="J21" s="5">
        <f t="shared" si="1"/>
        <v>32050</v>
      </c>
      <c r="K21" s="4"/>
    </row>
    <row r="22" spans="2:11" x14ac:dyDescent="0.25"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1" t="s">
        <v>26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x14ac:dyDescent="0.25">
      <c r="B24" s="1" t="s">
        <v>27</v>
      </c>
      <c r="C24" s="4"/>
      <c r="D24" s="4">
        <v>23450</v>
      </c>
      <c r="F24" s="4">
        <f>D24</f>
        <v>23450</v>
      </c>
      <c r="G24" s="4">
        <f>J15-(F7*F12)</f>
        <v>100</v>
      </c>
      <c r="I24" s="4">
        <f>SUM(F24:H24)</f>
        <v>23550</v>
      </c>
      <c r="J24" s="4">
        <f>D24+G24</f>
        <v>23550</v>
      </c>
      <c r="K24" s="4"/>
    </row>
    <row r="25" spans="2:11" x14ac:dyDescent="0.25">
      <c r="B25" s="1" t="s">
        <v>28</v>
      </c>
      <c r="C25" s="4"/>
      <c r="D25" s="4">
        <v>0</v>
      </c>
      <c r="E25" s="4">
        <f>F7*F12*F4</f>
        <v>1216</v>
      </c>
      <c r="F25" s="28">
        <f>-E25</f>
        <v>-1216</v>
      </c>
      <c r="G25" s="4"/>
      <c r="H25" s="4">
        <f>G24*F4</f>
        <v>95</v>
      </c>
      <c r="I25" s="4">
        <f>-(E25+H25)</f>
        <v>-1311</v>
      </c>
      <c r="J25" s="4"/>
      <c r="K25" s="4"/>
    </row>
    <row r="26" spans="2:11" x14ac:dyDescent="0.25">
      <c r="B26" s="1" t="s">
        <v>29</v>
      </c>
      <c r="C26" s="4"/>
      <c r="D26" s="4">
        <f>D24-D25</f>
        <v>23450</v>
      </c>
      <c r="F26" s="4">
        <f>F24+F25</f>
        <v>22234</v>
      </c>
      <c r="G26" s="4"/>
      <c r="H26" s="4"/>
      <c r="I26" s="4">
        <f>I24+I25</f>
        <v>22239</v>
      </c>
      <c r="J26" s="4">
        <f>J24+J25</f>
        <v>23550</v>
      </c>
      <c r="K26" s="4"/>
    </row>
    <row r="27" spans="2:11" x14ac:dyDescent="0.25">
      <c r="C27" s="4"/>
      <c r="D27" s="7">
        <f>D26</f>
        <v>23450</v>
      </c>
      <c r="E27" s="4"/>
      <c r="F27" s="7">
        <f>F26</f>
        <v>22234</v>
      </c>
      <c r="G27" s="6"/>
      <c r="H27" s="4"/>
      <c r="I27" s="7">
        <f>I26</f>
        <v>22239</v>
      </c>
      <c r="J27" s="7">
        <f>J26</f>
        <v>23550</v>
      </c>
      <c r="K27" s="4"/>
    </row>
    <row r="28" spans="2:11" x14ac:dyDescent="0.25">
      <c r="C28" s="4"/>
      <c r="D28" s="4"/>
      <c r="E28" s="4"/>
      <c r="F28" s="4"/>
      <c r="G28" s="4"/>
      <c r="H28" s="4"/>
      <c r="I28" s="4"/>
      <c r="J28" s="4"/>
      <c r="K28" s="4"/>
    </row>
    <row r="29" spans="2:11" x14ac:dyDescent="0.25">
      <c r="B29" s="1" t="s">
        <v>30</v>
      </c>
      <c r="C29" s="4"/>
      <c r="D29" s="4">
        <f>D21-D27</f>
        <v>8600</v>
      </c>
      <c r="E29" s="4">
        <f>E19+E25</f>
        <v>-76</v>
      </c>
      <c r="F29" s="4">
        <f>D29+E29</f>
        <v>8524</v>
      </c>
      <c r="G29" s="4">
        <f>-G24</f>
        <v>-100</v>
      </c>
      <c r="H29" s="4">
        <f>H25</f>
        <v>95</v>
      </c>
      <c r="I29" s="4">
        <f>SUM(F29:H29)</f>
        <v>8519</v>
      </c>
      <c r="J29" s="4">
        <f t="shared" ref="J29" si="2">J21-J27</f>
        <v>8500</v>
      </c>
      <c r="K29" s="4"/>
    </row>
    <row r="30" spans="2:11" ht="16.5" thickBot="1" x14ac:dyDescent="0.3">
      <c r="C30" s="4"/>
      <c r="D30" s="5">
        <f>D29+D27</f>
        <v>32050</v>
      </c>
      <c r="E30" s="4"/>
      <c r="F30" s="5">
        <f>F29+F27</f>
        <v>30758</v>
      </c>
      <c r="G30" s="6"/>
      <c r="H30" s="4"/>
      <c r="I30" s="5">
        <f t="shared" ref="I30:J30" si="3">I29+I27</f>
        <v>30758</v>
      </c>
      <c r="J30" s="5">
        <f t="shared" si="3"/>
        <v>32050</v>
      </c>
      <c r="K30" s="4"/>
    </row>
    <row r="31" spans="2:11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2:11" x14ac:dyDescent="0.25">
      <c r="B32" s="46" t="s">
        <v>33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5">
      <c r="B33" s="47" t="s">
        <v>34</v>
      </c>
      <c r="C33" s="4"/>
      <c r="D33" s="4">
        <v>18800</v>
      </c>
      <c r="F33" s="4">
        <f>D33+E33</f>
        <v>18800</v>
      </c>
      <c r="G33" s="4"/>
      <c r="H33" s="4"/>
      <c r="I33" s="4">
        <f>SUM(F33:H33)</f>
        <v>18800</v>
      </c>
      <c r="J33" s="4">
        <f>D33</f>
        <v>18800</v>
      </c>
      <c r="K33" s="4"/>
    </row>
    <row r="34" spans="2:11" x14ac:dyDescent="0.25">
      <c r="B34" s="47" t="s">
        <v>35</v>
      </c>
      <c r="C34" s="4"/>
      <c r="D34" s="4"/>
      <c r="E34" s="4">
        <f>-F34</f>
        <v>1520</v>
      </c>
      <c r="F34" s="4">
        <f>-F7*F4</f>
        <v>-1520</v>
      </c>
      <c r="G34" s="4"/>
      <c r="H34" s="4"/>
      <c r="I34" s="4">
        <f>F34</f>
        <v>-1520</v>
      </c>
      <c r="J34" s="4"/>
      <c r="K34" s="4"/>
    </row>
    <row r="35" spans="2:11" x14ac:dyDescent="0.25">
      <c r="B35" s="47" t="s">
        <v>36</v>
      </c>
      <c r="C35" s="4"/>
      <c r="D35" s="7">
        <f>D33+D34</f>
        <v>18800</v>
      </c>
      <c r="E35" s="4"/>
      <c r="F35" s="7">
        <f>F33+F34</f>
        <v>17280</v>
      </c>
      <c r="G35" s="4"/>
      <c r="H35" s="4"/>
      <c r="I35" s="4">
        <f t="shared" ref="I35:J35" si="4">I33+I34</f>
        <v>17280</v>
      </c>
      <c r="J35" s="4">
        <f t="shared" si="4"/>
        <v>18800</v>
      </c>
      <c r="K35" s="4"/>
    </row>
    <row r="36" spans="2:11" x14ac:dyDescent="0.25">
      <c r="B36" s="1" t="s">
        <v>3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6.5" thickBot="1" x14ac:dyDescent="0.3">
      <c r="B37" s="1" t="s">
        <v>37</v>
      </c>
      <c r="C37" s="4"/>
      <c r="D37" s="21">
        <f>D35+D36</f>
        <v>18800</v>
      </c>
      <c r="E37" s="4"/>
      <c r="F37" s="21">
        <f>F35+F36</f>
        <v>17280</v>
      </c>
      <c r="G37" s="4"/>
      <c r="H37" s="4"/>
      <c r="I37" s="21">
        <f>I35+I36</f>
        <v>17280</v>
      </c>
      <c r="J37" s="21">
        <f>J35+J36</f>
        <v>18800</v>
      </c>
      <c r="K37" s="4"/>
    </row>
    <row r="38" spans="2:11" ht="16.5" thickTop="1" x14ac:dyDescent="0.25">
      <c r="B38" s="1" t="s">
        <v>38</v>
      </c>
      <c r="C38" s="4"/>
      <c r="D38" s="41">
        <v>11750</v>
      </c>
      <c r="E38" s="4"/>
      <c r="F38" s="4">
        <f>D38+E38</f>
        <v>11750</v>
      </c>
      <c r="G38" s="4">
        <f>J15</f>
        <v>1380</v>
      </c>
      <c r="H38" s="4">
        <f>-J15*F4</f>
        <v>-1311</v>
      </c>
      <c r="I38" s="4">
        <f>SUM(F38:H38)</f>
        <v>11819</v>
      </c>
      <c r="J38" s="4">
        <f>D38+G38</f>
        <v>13130</v>
      </c>
      <c r="K38" s="4"/>
    </row>
    <row r="39" spans="2:11" x14ac:dyDescent="0.25">
      <c r="B39" s="1" t="s">
        <v>39</v>
      </c>
      <c r="C39" s="4"/>
      <c r="D39" s="41">
        <v>4000</v>
      </c>
      <c r="E39" s="4">
        <f>-F8*F4</f>
        <v>-228</v>
      </c>
      <c r="F39" s="4">
        <f>D39+E39</f>
        <v>3772</v>
      </c>
      <c r="G39" s="4"/>
      <c r="H39" s="4"/>
      <c r="I39" s="4">
        <f>SUM(F39:H39)</f>
        <v>3772</v>
      </c>
      <c r="J39" s="4">
        <f>D39</f>
        <v>4000</v>
      </c>
      <c r="K39" s="4"/>
    </row>
    <row r="40" spans="2:11" x14ac:dyDescent="0.25">
      <c r="B40" s="1" t="s">
        <v>40</v>
      </c>
      <c r="C40" s="4"/>
      <c r="D40" s="7">
        <f>D37-D38-D39</f>
        <v>3050</v>
      </c>
      <c r="E40" s="4"/>
      <c r="F40" s="7">
        <f>F37-F38-F39</f>
        <v>1758</v>
      </c>
      <c r="G40" s="6"/>
      <c r="H40" s="4"/>
      <c r="I40" s="7">
        <f>I37-I38-I39</f>
        <v>1689</v>
      </c>
      <c r="J40" s="7">
        <f>J33-J38-J39</f>
        <v>1670</v>
      </c>
      <c r="K40" s="4"/>
    </row>
    <row r="41" spans="2:11" x14ac:dyDescent="0.25">
      <c r="C41" s="4"/>
      <c r="D41" s="4"/>
      <c r="E41" s="4"/>
      <c r="F41" s="4"/>
      <c r="G41" s="4"/>
      <c r="H41" s="4"/>
      <c r="I41" s="4"/>
      <c r="J41" s="4"/>
      <c r="K41" s="4"/>
    </row>
    <row r="42" spans="2:11" x14ac:dyDescent="0.25">
      <c r="B42" s="47" t="s">
        <v>41</v>
      </c>
      <c r="C42" s="4"/>
      <c r="D42" s="4">
        <v>350</v>
      </c>
      <c r="E42" s="4"/>
      <c r="F42" s="4">
        <f>D42+E42</f>
        <v>350</v>
      </c>
      <c r="G42" s="4"/>
      <c r="H42" s="4"/>
      <c r="I42" s="4">
        <f>SUM(F42:H42)</f>
        <v>350</v>
      </c>
      <c r="J42" s="4">
        <f>D42</f>
        <v>350</v>
      </c>
      <c r="K42" s="4"/>
    </row>
    <row r="43" spans="2:11" s="1" customFormat="1" thickBot="1" x14ac:dyDescent="0.25">
      <c r="B43" s="47" t="s">
        <v>42</v>
      </c>
      <c r="C43" s="4"/>
      <c r="D43" s="5">
        <f>D40+D42</f>
        <v>3400</v>
      </c>
      <c r="E43" s="4"/>
      <c r="F43" s="5">
        <f>F40+F42</f>
        <v>2108</v>
      </c>
      <c r="G43" s="6"/>
      <c r="H43" s="4"/>
      <c r="I43" s="5">
        <f>I40+I42</f>
        <v>2039</v>
      </c>
      <c r="J43" s="5">
        <f>J40+J42</f>
        <v>2020</v>
      </c>
      <c r="K43" s="4"/>
    </row>
    <row r="44" spans="2:11" s="1" customFormat="1" ht="15" x14ac:dyDescent="0.2">
      <c r="C44" s="4"/>
      <c r="D44" s="4"/>
      <c r="E44" s="4"/>
      <c r="F44" s="4"/>
      <c r="G44" s="4"/>
      <c r="H44" s="4"/>
      <c r="I44" s="4"/>
      <c r="J44" s="4"/>
      <c r="K44" s="4"/>
    </row>
    <row r="45" spans="2:11" s="1" customFormat="1" ht="15" x14ac:dyDescent="0.2">
      <c r="C45" s="4"/>
      <c r="D45" s="4"/>
      <c r="E45" s="4"/>
      <c r="F45" s="4"/>
      <c r="G45" s="4"/>
      <c r="H45" s="4"/>
      <c r="I45" s="4"/>
      <c r="J45" s="4"/>
      <c r="K45" s="4"/>
    </row>
    <row r="46" spans="2:11" s="1" customFormat="1" ht="15" x14ac:dyDescent="0.2">
      <c r="B46" s="47" t="s">
        <v>20</v>
      </c>
      <c r="C46" s="4"/>
      <c r="D46" s="8">
        <f>D38/D37</f>
        <v>0.625</v>
      </c>
      <c r="E46" s="4"/>
      <c r="F46" s="8">
        <f>F38/F37</f>
        <v>0.67997685185185186</v>
      </c>
      <c r="G46" s="4"/>
      <c r="H46" s="4"/>
      <c r="I46" s="8">
        <f>I38/I37</f>
        <v>0.68396990740740737</v>
      </c>
      <c r="J46" s="8">
        <f>J38/J37</f>
        <v>0.69840425531914896</v>
      </c>
      <c r="K46" s="4"/>
    </row>
    <row r="47" spans="2:11" s="1" customFormat="1" ht="15" x14ac:dyDescent="0.2">
      <c r="B47" s="47" t="s">
        <v>43</v>
      </c>
      <c r="C47" s="4"/>
      <c r="D47" s="8">
        <f>D39/D33</f>
        <v>0.21276595744680851</v>
      </c>
      <c r="E47" s="4"/>
      <c r="F47" s="8">
        <f>F39/F33</f>
        <v>0.20063829787234042</v>
      </c>
      <c r="G47" s="4"/>
      <c r="H47" s="4"/>
      <c r="I47" s="8">
        <f>I39/I33</f>
        <v>0.20063829787234042</v>
      </c>
      <c r="J47" s="8">
        <f>J39/J33</f>
        <v>0.21276595744680851</v>
      </c>
      <c r="K47" s="4"/>
    </row>
    <row r="48" spans="2:11" s="1" customFormat="1" ht="15" x14ac:dyDescent="0.2">
      <c r="B48" s="47" t="s">
        <v>44</v>
      </c>
      <c r="C48" s="4"/>
      <c r="D48" s="8">
        <f>D46+D47</f>
        <v>0.83776595744680848</v>
      </c>
      <c r="E48" s="4"/>
      <c r="F48" s="8">
        <f>F46+F47</f>
        <v>0.8806151497241923</v>
      </c>
      <c r="G48" s="4"/>
      <c r="H48" s="4"/>
      <c r="I48" s="8">
        <f>I46+I47</f>
        <v>0.88460820527974782</v>
      </c>
      <c r="J48" s="8">
        <f>J46+J47</f>
        <v>0.91117021276595744</v>
      </c>
      <c r="K48" s="4"/>
    </row>
    <row r="49" spans="2:11" s="1" customFormat="1" ht="15" x14ac:dyDescent="0.2">
      <c r="C49" s="4"/>
      <c r="D49" s="4"/>
      <c r="E49" s="4"/>
      <c r="F49" s="4"/>
      <c r="G49" s="4"/>
      <c r="H49" s="4"/>
      <c r="I49" s="4"/>
      <c r="J49" s="4"/>
      <c r="K49" s="4"/>
    </row>
    <row r="50" spans="2:11" s="1" customFormat="1" ht="15" x14ac:dyDescent="0.2">
      <c r="B50" s="47" t="s">
        <v>45</v>
      </c>
      <c r="C50" s="4"/>
      <c r="D50" s="8">
        <f>D35/D29</f>
        <v>2.1860465116279069</v>
      </c>
      <c r="E50" s="4"/>
      <c r="F50" s="8">
        <f>F35/F29</f>
        <v>2.027217268887846</v>
      </c>
      <c r="G50" s="4"/>
      <c r="H50" s="4"/>
      <c r="I50" s="8">
        <f>I35/I29</f>
        <v>2.0284070900340416</v>
      </c>
      <c r="J50" s="8">
        <f>J35/J29</f>
        <v>2.2117647058823531</v>
      </c>
      <c r="K50" s="4"/>
    </row>
    <row r="51" spans="2:11" s="1" customFormat="1" ht="15" x14ac:dyDescent="0.2">
      <c r="B51" s="1" t="s">
        <v>11</v>
      </c>
      <c r="D51" s="8">
        <f>D43/D21</f>
        <v>0.10608424336973479</v>
      </c>
      <c r="E51" s="4"/>
      <c r="F51" s="8">
        <f>F43/F21</f>
        <v>6.8535015280577413E-2</v>
      </c>
      <c r="G51" s="4"/>
      <c r="H51" s="4"/>
      <c r="I51" s="8">
        <f>I43/I21</f>
        <v>6.6291696469211264E-2</v>
      </c>
      <c r="J51" s="8">
        <f>J43/J21</f>
        <v>6.302652106084243E-2</v>
      </c>
      <c r="K51" s="4"/>
    </row>
    <row r="52" spans="2:11" s="1" customFormat="1" ht="15" x14ac:dyDescent="0.2">
      <c r="B52" s="1" t="s">
        <v>12</v>
      </c>
      <c r="D52" s="8">
        <f>D43/D29</f>
        <v>0.39534883720930231</v>
      </c>
      <c r="E52" s="4"/>
      <c r="F52" s="8">
        <f>F43/F29</f>
        <v>0.24730173627404975</v>
      </c>
      <c r="G52" s="4"/>
      <c r="H52" s="4"/>
      <c r="I52" s="8">
        <f>I43/I29</f>
        <v>0.23934734123723442</v>
      </c>
      <c r="J52" s="8">
        <f>J43/J29</f>
        <v>0.23764705882352941</v>
      </c>
      <c r="K52" s="4"/>
    </row>
    <row r="53" spans="2:11" s="1" customFormat="1" ht="15" x14ac:dyDescent="0.2">
      <c r="E53" s="4"/>
      <c r="G53" s="4"/>
      <c r="H53" s="4"/>
      <c r="K53" s="4"/>
    </row>
    <row r="54" spans="2:11" s="1" customFormat="1" ht="15" x14ac:dyDescent="0.2">
      <c r="B54" s="48" t="s">
        <v>46</v>
      </c>
      <c r="D54" s="8">
        <f>-D34/D33</f>
        <v>0</v>
      </c>
      <c r="E54" s="4"/>
      <c r="F54" s="8">
        <f>-F34/F33</f>
        <v>8.085106382978724E-2</v>
      </c>
      <c r="G54" s="4"/>
      <c r="H54" s="4"/>
      <c r="I54" s="8">
        <f>-I34/I33</f>
        <v>8.085106382978724E-2</v>
      </c>
      <c r="J54" s="8">
        <f>-J34/J33</f>
        <v>0</v>
      </c>
      <c r="K54" s="4"/>
    </row>
    <row r="57" spans="2:11" x14ac:dyDescent="0.25">
      <c r="B57" s="10" t="s">
        <v>62</v>
      </c>
      <c r="E57" s="11" t="s">
        <v>16</v>
      </c>
      <c r="F57" s="12"/>
      <c r="H57" s="3" t="s">
        <v>47</v>
      </c>
    </row>
    <row r="58" spans="2:11" x14ac:dyDescent="0.25">
      <c r="B58" s="2"/>
      <c r="E58" s="13" t="s">
        <v>18</v>
      </c>
      <c r="F58" s="20">
        <v>0.8</v>
      </c>
      <c r="H58" s="1" t="s">
        <v>48</v>
      </c>
      <c r="J58" s="4">
        <v>200</v>
      </c>
    </row>
    <row r="59" spans="2:11" x14ac:dyDescent="0.25">
      <c r="B59" s="2"/>
      <c r="E59" s="13"/>
      <c r="F59" s="14"/>
      <c r="H59" s="1" t="s">
        <v>49</v>
      </c>
      <c r="J59" s="4">
        <v>30</v>
      </c>
    </row>
    <row r="60" spans="2:11" x14ac:dyDescent="0.25">
      <c r="B60" s="2"/>
      <c r="E60" s="13" t="s">
        <v>31</v>
      </c>
      <c r="F60" s="14"/>
      <c r="H60" s="1" t="s">
        <v>50</v>
      </c>
      <c r="J60" s="4">
        <v>50</v>
      </c>
    </row>
    <row r="61" spans="2:11" x14ac:dyDescent="0.25">
      <c r="B61" s="2"/>
      <c r="E61" s="13" t="s">
        <v>32</v>
      </c>
      <c r="F61" s="14">
        <v>1600</v>
      </c>
      <c r="H61" s="1" t="s">
        <v>51</v>
      </c>
      <c r="J61" s="4">
        <v>110</v>
      </c>
    </row>
    <row r="62" spans="2:11" x14ac:dyDescent="0.25">
      <c r="B62" s="2"/>
      <c r="E62" s="13" t="s">
        <v>19</v>
      </c>
      <c r="F62" s="14">
        <v>240</v>
      </c>
      <c r="H62" s="1" t="s">
        <v>52</v>
      </c>
      <c r="J62" s="4">
        <v>130</v>
      </c>
    </row>
    <row r="63" spans="2:11" x14ac:dyDescent="0.25">
      <c r="B63" s="2"/>
      <c r="E63" s="15"/>
      <c r="F63" s="17"/>
      <c r="H63" s="1" t="s">
        <v>53</v>
      </c>
      <c r="J63" s="4">
        <v>170</v>
      </c>
    </row>
    <row r="64" spans="2:11" x14ac:dyDescent="0.25">
      <c r="B64" s="2"/>
      <c r="E64" s="2"/>
      <c r="F64" s="2"/>
      <c r="H64" s="1" t="s">
        <v>54</v>
      </c>
      <c r="J64" s="4">
        <v>150</v>
      </c>
    </row>
    <row r="65" spans="2:11" x14ac:dyDescent="0.25">
      <c r="B65" s="2"/>
      <c r="E65" s="22" t="s">
        <v>20</v>
      </c>
      <c r="F65" s="23"/>
      <c r="H65" s="1" t="s">
        <v>55</v>
      </c>
      <c r="J65" s="4">
        <v>60</v>
      </c>
    </row>
    <row r="66" spans="2:11" x14ac:dyDescent="0.25">
      <c r="B66" s="2"/>
      <c r="E66" s="24" t="s">
        <v>21</v>
      </c>
      <c r="F66" s="26">
        <v>0.8</v>
      </c>
      <c r="H66" s="1" t="s">
        <v>56</v>
      </c>
      <c r="J66" s="4">
        <v>190</v>
      </c>
    </row>
    <row r="67" spans="2:11" x14ac:dyDescent="0.25">
      <c r="B67" s="2"/>
      <c r="E67" s="2"/>
      <c r="F67" s="2"/>
      <c r="H67" s="1" t="s">
        <v>57</v>
      </c>
      <c r="J67" s="4">
        <v>200</v>
      </c>
    </row>
    <row r="68" spans="2:11" x14ac:dyDescent="0.25">
      <c r="B68" s="2"/>
      <c r="E68" s="2"/>
      <c r="F68" s="2"/>
      <c r="H68" s="1" t="s">
        <v>58</v>
      </c>
      <c r="J68" s="4">
        <v>90</v>
      </c>
    </row>
    <row r="69" spans="2:11" ht="16.5" thickBot="1" x14ac:dyDescent="0.3">
      <c r="B69" s="2"/>
      <c r="E69" s="2"/>
      <c r="F69" s="2"/>
      <c r="J69" s="18">
        <f>(SUM(J58:J68))</f>
        <v>1380</v>
      </c>
    </row>
    <row r="70" spans="2:11" ht="16.5" thickTop="1" x14ac:dyDescent="0.25"/>
    <row r="71" spans="2:11" x14ac:dyDescent="0.25">
      <c r="B71" s="2" t="s">
        <v>22</v>
      </c>
      <c r="D71" s="44" t="s">
        <v>0</v>
      </c>
      <c r="E71" s="44" t="s">
        <v>17</v>
      </c>
      <c r="F71" s="44" t="s">
        <v>1</v>
      </c>
      <c r="G71" s="51" t="s">
        <v>61</v>
      </c>
      <c r="H71" s="51"/>
      <c r="I71" s="44" t="s">
        <v>59</v>
      </c>
      <c r="J71" s="44" t="s">
        <v>60</v>
      </c>
    </row>
    <row r="72" spans="2:11" x14ac:dyDescent="0.25">
      <c r="B72" s="1" t="s">
        <v>23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s="1" t="s">
        <v>24</v>
      </c>
      <c r="C73" s="4"/>
      <c r="D73" s="4">
        <f>D19</f>
        <v>19800</v>
      </c>
      <c r="E73" s="4">
        <f>-(F61*F58-F62*F58)</f>
        <v>-1088</v>
      </c>
      <c r="F73" s="4">
        <f>D73+E73</f>
        <v>18712</v>
      </c>
      <c r="G73" s="4"/>
      <c r="H73" s="4"/>
      <c r="I73" s="4">
        <f>F73</f>
        <v>18712</v>
      </c>
      <c r="J73" s="4">
        <f>D73</f>
        <v>19800</v>
      </c>
      <c r="K73" s="4"/>
    </row>
    <row r="74" spans="2:11" x14ac:dyDescent="0.25">
      <c r="B74" s="1" t="s">
        <v>25</v>
      </c>
      <c r="C74" s="4"/>
      <c r="D74" s="4">
        <f>D20</f>
        <v>12250</v>
      </c>
      <c r="E74" s="4"/>
      <c r="F74" s="4">
        <f>D74+E74</f>
        <v>12250</v>
      </c>
      <c r="G74" s="4"/>
      <c r="H74" s="4"/>
      <c r="I74" s="4">
        <f>F74</f>
        <v>12250</v>
      </c>
      <c r="J74" s="4">
        <f t="shared" ref="J74" si="5">H74+I74</f>
        <v>12250</v>
      </c>
      <c r="K74" s="4"/>
    </row>
    <row r="75" spans="2:11" ht="16.5" thickBot="1" x14ac:dyDescent="0.3">
      <c r="C75" s="4"/>
      <c r="D75" s="5">
        <f>D73+D74</f>
        <v>32050</v>
      </c>
      <c r="E75" s="4"/>
      <c r="F75" s="5">
        <f>F73+F74</f>
        <v>30962</v>
      </c>
      <c r="G75" s="6"/>
      <c r="H75" s="4"/>
      <c r="I75" s="5">
        <f t="shared" ref="I75:J75" si="6">I73+I74</f>
        <v>30962</v>
      </c>
      <c r="J75" s="5">
        <f t="shared" si="6"/>
        <v>32050</v>
      </c>
      <c r="K75" s="4"/>
    </row>
    <row r="76" spans="2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2:11" x14ac:dyDescent="0.25">
      <c r="B77" s="1" t="s">
        <v>26</v>
      </c>
      <c r="C77" s="4"/>
      <c r="D77" s="4"/>
      <c r="E77" s="4"/>
      <c r="F77" s="4"/>
      <c r="G77" s="4"/>
      <c r="H77" s="4"/>
      <c r="I77" s="4"/>
      <c r="J77" s="4"/>
      <c r="K77" s="4"/>
    </row>
    <row r="78" spans="2:11" x14ac:dyDescent="0.25">
      <c r="B78" s="1" t="s">
        <v>27</v>
      </c>
      <c r="C78" s="4"/>
      <c r="D78" s="4">
        <f>D24</f>
        <v>23450</v>
      </c>
      <c r="F78" s="4">
        <f>D78</f>
        <v>23450</v>
      </c>
      <c r="G78" s="4">
        <f>J69-(F61*F66)</f>
        <v>100</v>
      </c>
      <c r="I78" s="4">
        <f>SUM(F78:H78)</f>
        <v>23550</v>
      </c>
      <c r="J78" s="4">
        <f>D78+G78</f>
        <v>23550</v>
      </c>
      <c r="K78" s="4"/>
    </row>
    <row r="79" spans="2:11" x14ac:dyDescent="0.25">
      <c r="B79" s="1" t="s">
        <v>28</v>
      </c>
      <c r="C79" s="4"/>
      <c r="D79" s="4">
        <v>0</v>
      </c>
      <c r="E79" s="4">
        <f>F61*F66*F58</f>
        <v>1024</v>
      </c>
      <c r="F79" s="28">
        <f>-E79</f>
        <v>-1024</v>
      </c>
      <c r="G79" s="4"/>
      <c r="H79" s="4">
        <f>G78*F58</f>
        <v>80</v>
      </c>
      <c r="I79" s="4">
        <f>-(E79+H79)</f>
        <v>-1104</v>
      </c>
      <c r="J79" s="4"/>
      <c r="K79" s="4"/>
    </row>
    <row r="80" spans="2:11" x14ac:dyDescent="0.25">
      <c r="B80" s="1" t="s">
        <v>29</v>
      </c>
      <c r="C80" s="4"/>
      <c r="D80" s="4">
        <f>D78-D79</f>
        <v>23450</v>
      </c>
      <c r="F80" s="4">
        <f>F78+F79</f>
        <v>22426</v>
      </c>
      <c r="G80" s="4"/>
      <c r="H80" s="4"/>
      <c r="I80" s="4">
        <f>I78+I79</f>
        <v>22446</v>
      </c>
      <c r="J80" s="4">
        <f>J78+J79</f>
        <v>23550</v>
      </c>
      <c r="K80" s="4"/>
    </row>
    <row r="81" spans="2:11" x14ac:dyDescent="0.25">
      <c r="C81" s="4"/>
      <c r="D81" s="7">
        <f>D80</f>
        <v>23450</v>
      </c>
      <c r="E81" s="4"/>
      <c r="F81" s="7">
        <f>F80</f>
        <v>22426</v>
      </c>
      <c r="G81" s="6"/>
      <c r="H81" s="4"/>
      <c r="I81" s="7">
        <f>I80</f>
        <v>22446</v>
      </c>
      <c r="J81" s="7">
        <f>J80</f>
        <v>23550</v>
      </c>
      <c r="K81" s="4"/>
    </row>
    <row r="82" spans="2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1" t="s">
        <v>30</v>
      </c>
      <c r="C83" s="4"/>
      <c r="D83" s="4">
        <f>D75-D81</f>
        <v>8600</v>
      </c>
      <c r="E83" s="4">
        <f>E73+E79</f>
        <v>-64</v>
      </c>
      <c r="F83" s="4">
        <f>D83+E83</f>
        <v>8536</v>
      </c>
      <c r="G83" s="4">
        <f>-G78</f>
        <v>-100</v>
      </c>
      <c r="H83" s="4">
        <f>H79</f>
        <v>80</v>
      </c>
      <c r="I83" s="4">
        <f>SUM(F83:H83)</f>
        <v>8516</v>
      </c>
      <c r="J83" s="4">
        <f t="shared" ref="J83" si="7">J75-J81</f>
        <v>8500</v>
      </c>
      <c r="K83" s="4"/>
    </row>
    <row r="84" spans="2:11" ht="16.5" thickBot="1" x14ac:dyDescent="0.3">
      <c r="C84" s="4"/>
      <c r="D84" s="5">
        <f>D83+D81</f>
        <v>32050</v>
      </c>
      <c r="E84" s="4"/>
      <c r="F84" s="5">
        <f>F83+F81</f>
        <v>30962</v>
      </c>
      <c r="G84" s="6"/>
      <c r="H84" s="4"/>
      <c r="I84" s="5">
        <f t="shared" ref="I84:J84" si="8">I83+I81</f>
        <v>30962</v>
      </c>
      <c r="J84" s="5">
        <f t="shared" si="8"/>
        <v>32050</v>
      </c>
      <c r="K84" s="4"/>
    </row>
    <row r="85" spans="2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6" t="s">
        <v>33</v>
      </c>
      <c r="C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7" t="s">
        <v>34</v>
      </c>
      <c r="C87" s="4"/>
      <c r="D87" s="4">
        <f>D33</f>
        <v>18800</v>
      </c>
      <c r="F87" s="4">
        <f>D87+E87</f>
        <v>18800</v>
      </c>
      <c r="G87" s="4"/>
      <c r="H87" s="4"/>
      <c r="I87" s="4">
        <f>SUM(F87:H87)</f>
        <v>18800</v>
      </c>
      <c r="J87" s="4">
        <f>D87</f>
        <v>18800</v>
      </c>
      <c r="K87" s="4"/>
    </row>
    <row r="88" spans="2:11" x14ac:dyDescent="0.25">
      <c r="B88" s="47" t="s">
        <v>35</v>
      </c>
      <c r="C88" s="4"/>
      <c r="D88" s="4"/>
      <c r="E88" s="4">
        <f>-F88</f>
        <v>1280</v>
      </c>
      <c r="F88" s="4">
        <f>-F61*F58</f>
        <v>-1280</v>
      </c>
      <c r="G88" s="4"/>
      <c r="H88" s="4"/>
      <c r="I88" s="4">
        <f>F88</f>
        <v>-1280</v>
      </c>
      <c r="J88" s="4"/>
      <c r="K88" s="4"/>
    </row>
    <row r="89" spans="2:11" x14ac:dyDescent="0.25">
      <c r="B89" s="47" t="s">
        <v>36</v>
      </c>
      <c r="C89" s="4"/>
      <c r="D89" s="7">
        <f>D87+D88</f>
        <v>18800</v>
      </c>
      <c r="E89" s="4"/>
      <c r="F89" s="7">
        <f>F87+F88</f>
        <v>17520</v>
      </c>
      <c r="G89" s="4"/>
      <c r="H89" s="4"/>
      <c r="I89" s="4">
        <f t="shared" ref="I89:J89" si="9">I87+I88</f>
        <v>17520</v>
      </c>
      <c r="J89" s="4">
        <f t="shared" si="9"/>
        <v>18800</v>
      </c>
      <c r="K89" s="4"/>
    </row>
    <row r="90" spans="2:11" x14ac:dyDescent="0.25">
      <c r="B90" s="1" t="s">
        <v>3</v>
      </c>
      <c r="C90" s="4"/>
      <c r="D90" s="4"/>
      <c r="E90" s="4"/>
      <c r="F90" s="4"/>
      <c r="G90" s="4"/>
      <c r="H90" s="4"/>
      <c r="I90" s="4"/>
      <c r="J90" s="4"/>
      <c r="K90" s="4"/>
    </row>
    <row r="91" spans="2:11" ht="16.5" thickBot="1" x14ac:dyDescent="0.3">
      <c r="B91" s="1" t="s">
        <v>37</v>
      </c>
      <c r="C91" s="4"/>
      <c r="D91" s="21">
        <f>D89+D90</f>
        <v>18800</v>
      </c>
      <c r="E91" s="4"/>
      <c r="F91" s="21">
        <f>F89+F90</f>
        <v>17520</v>
      </c>
      <c r="G91" s="4"/>
      <c r="H91" s="4"/>
      <c r="I91" s="21">
        <f>I89+I90</f>
        <v>17520</v>
      </c>
      <c r="J91" s="21">
        <f>J89+J90</f>
        <v>18800</v>
      </c>
      <c r="K91" s="4"/>
    </row>
    <row r="92" spans="2:11" ht="16.5" thickTop="1" x14ac:dyDescent="0.25">
      <c r="B92" s="1" t="s">
        <v>38</v>
      </c>
      <c r="C92" s="4"/>
      <c r="D92" s="4">
        <f>D38</f>
        <v>11750</v>
      </c>
      <c r="E92" s="4"/>
      <c r="F92" s="4">
        <f>D92+E92</f>
        <v>11750</v>
      </c>
      <c r="G92" s="4">
        <f>J69</f>
        <v>1380</v>
      </c>
      <c r="H92" s="4">
        <f>-J69*F58</f>
        <v>-1104</v>
      </c>
      <c r="I92" s="4">
        <f>SUM(F92:H92)</f>
        <v>12026</v>
      </c>
      <c r="J92" s="4">
        <f>D92+G92</f>
        <v>13130</v>
      </c>
      <c r="K92" s="4"/>
    </row>
    <row r="93" spans="2:11" x14ac:dyDescent="0.25">
      <c r="B93" s="1" t="s">
        <v>39</v>
      </c>
      <c r="C93" s="4"/>
      <c r="D93" s="4">
        <f>D39</f>
        <v>4000</v>
      </c>
      <c r="E93" s="4">
        <f>-F62*F58</f>
        <v>-192</v>
      </c>
      <c r="F93" s="4">
        <f>D93+E93</f>
        <v>3808</v>
      </c>
      <c r="G93" s="4"/>
      <c r="H93" s="4"/>
      <c r="I93" s="4">
        <f>SUM(F93:H93)</f>
        <v>3808</v>
      </c>
      <c r="J93" s="4">
        <f>D93</f>
        <v>4000</v>
      </c>
      <c r="K93" s="4"/>
    </row>
    <row r="94" spans="2:11" x14ac:dyDescent="0.25">
      <c r="B94" s="1" t="s">
        <v>40</v>
      </c>
      <c r="C94" s="4"/>
      <c r="D94" s="7">
        <f>D91-D92-D93</f>
        <v>3050</v>
      </c>
      <c r="E94" s="4"/>
      <c r="F94" s="7">
        <f>F91-F92-F93</f>
        <v>1962</v>
      </c>
      <c r="G94" s="6"/>
      <c r="H94" s="4"/>
      <c r="I94" s="7">
        <f>I91-I92-I93</f>
        <v>1686</v>
      </c>
      <c r="J94" s="7">
        <f>J87-J92-J93</f>
        <v>1670</v>
      </c>
      <c r="K94" s="4"/>
    </row>
    <row r="95" spans="2:11" x14ac:dyDescent="0.25">
      <c r="C95" s="4"/>
      <c r="D95" s="4"/>
      <c r="E95" s="4"/>
      <c r="F95" s="4"/>
      <c r="G95" s="4"/>
      <c r="H95" s="4"/>
      <c r="I95" s="4"/>
      <c r="J95" s="4"/>
      <c r="K95" s="4"/>
    </row>
    <row r="96" spans="2:11" x14ac:dyDescent="0.25">
      <c r="B96" s="47" t="s">
        <v>41</v>
      </c>
      <c r="C96" s="4"/>
      <c r="D96" s="4">
        <f>D42</f>
        <v>350</v>
      </c>
      <c r="E96" s="4"/>
      <c r="F96" s="4">
        <f>D96+E96</f>
        <v>350</v>
      </c>
      <c r="G96" s="4"/>
      <c r="H96" s="4"/>
      <c r="I96" s="4">
        <f>SUM(F96:H96)</f>
        <v>350</v>
      </c>
      <c r="J96" s="4">
        <f>D96</f>
        <v>350</v>
      </c>
      <c r="K96" s="4"/>
    </row>
    <row r="97" spans="2:11" s="1" customFormat="1" thickBot="1" x14ac:dyDescent="0.25">
      <c r="B97" s="47" t="s">
        <v>42</v>
      </c>
      <c r="C97" s="4"/>
      <c r="D97" s="5">
        <f>D94+D96</f>
        <v>3400</v>
      </c>
      <c r="E97" s="4"/>
      <c r="F97" s="5">
        <f>F94+F96</f>
        <v>2312</v>
      </c>
      <c r="G97" s="6"/>
      <c r="H97" s="4"/>
      <c r="I97" s="5">
        <f>I94+I96</f>
        <v>2036</v>
      </c>
      <c r="J97" s="5">
        <f>J94+J96</f>
        <v>2020</v>
      </c>
      <c r="K97" s="4"/>
    </row>
    <row r="98" spans="2:11" s="1" customFormat="1" ht="15" x14ac:dyDescent="0.2">
      <c r="C98" s="4"/>
      <c r="D98" s="4"/>
      <c r="E98" s="4"/>
      <c r="F98" s="4"/>
      <c r="G98" s="4"/>
      <c r="H98" s="4"/>
      <c r="I98" s="4"/>
      <c r="J98" s="4"/>
      <c r="K98" s="4"/>
    </row>
    <row r="99" spans="2:11" s="1" customFormat="1" ht="15" x14ac:dyDescent="0.2">
      <c r="C99" s="4"/>
      <c r="D99" s="4"/>
      <c r="E99" s="4"/>
      <c r="F99" s="4"/>
      <c r="G99" s="4"/>
      <c r="H99" s="4"/>
      <c r="I99" s="4"/>
      <c r="J99" s="4"/>
      <c r="K99" s="4"/>
    </row>
    <row r="100" spans="2:11" s="1" customFormat="1" x14ac:dyDescent="0.25">
      <c r="B100" s="47" t="s">
        <v>20</v>
      </c>
      <c r="C100" s="4"/>
      <c r="D100" s="8">
        <f>D92/D91</f>
        <v>0.625</v>
      </c>
      <c r="E100" s="4"/>
      <c r="F100" s="8">
        <f>F92/F91</f>
        <v>0.670662100456621</v>
      </c>
      <c r="G100" s="9"/>
      <c r="H100" s="4"/>
      <c r="I100" s="8">
        <f>I92/I91</f>
        <v>0.68641552511415527</v>
      </c>
      <c r="J100" s="8">
        <f>J92/J91</f>
        <v>0.69840425531914896</v>
      </c>
      <c r="K100" s="9"/>
    </row>
    <row r="101" spans="2:11" s="1" customFormat="1" ht="15" x14ac:dyDescent="0.2">
      <c r="B101" s="47" t="s">
        <v>43</v>
      </c>
      <c r="C101" s="4"/>
      <c r="D101" s="8">
        <f>D93/D87</f>
        <v>0.21276595744680851</v>
      </c>
      <c r="E101" s="4"/>
      <c r="F101" s="8">
        <f>F93/F87</f>
        <v>0.20255319148936171</v>
      </c>
      <c r="G101" s="8"/>
      <c r="H101" s="4"/>
      <c r="I101" s="8">
        <f>I93/I87</f>
        <v>0.20255319148936171</v>
      </c>
      <c r="J101" s="8">
        <f>J93/J87</f>
        <v>0.21276595744680851</v>
      </c>
      <c r="K101" s="8"/>
    </row>
    <row r="102" spans="2:11" s="1" customFormat="1" ht="15" x14ac:dyDescent="0.2">
      <c r="B102" s="47" t="s">
        <v>44</v>
      </c>
      <c r="C102" s="4"/>
      <c r="D102" s="8">
        <f>D100+D101</f>
        <v>0.83776595744680848</v>
      </c>
      <c r="E102" s="4"/>
      <c r="F102" s="8">
        <f>F100+F101</f>
        <v>0.87321529194598269</v>
      </c>
      <c r="G102" s="8"/>
      <c r="H102" s="4"/>
      <c r="I102" s="8">
        <f>I100+I101</f>
        <v>0.88896871660351695</v>
      </c>
      <c r="J102" s="8">
        <f>J100+J101</f>
        <v>0.91117021276595744</v>
      </c>
      <c r="K102" s="8"/>
    </row>
    <row r="103" spans="2:11" s="1" customFormat="1" ht="15" x14ac:dyDescent="0.2"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1" customFormat="1" ht="15" x14ac:dyDescent="0.2">
      <c r="B104" s="47" t="s">
        <v>45</v>
      </c>
      <c r="C104" s="4"/>
      <c r="D104" s="8">
        <f>D89/D83</f>
        <v>2.1860465116279069</v>
      </c>
      <c r="E104" s="4"/>
      <c r="F104" s="8">
        <f t="shared" ref="F104" si="10">F89/F83</f>
        <v>2.0524835988753516</v>
      </c>
      <c r="G104" s="4"/>
      <c r="H104" s="4"/>
      <c r="I104" s="8">
        <f>I87/I83</f>
        <v>2.207609206200094</v>
      </c>
      <c r="J104" s="8">
        <f>J87/J83</f>
        <v>2.2117647058823531</v>
      </c>
      <c r="K104" s="4"/>
    </row>
    <row r="105" spans="2:11" s="1" customFormat="1" x14ac:dyDescent="0.25">
      <c r="B105" s="1" t="s">
        <v>11</v>
      </c>
      <c r="D105" s="8">
        <f>D97/D75</f>
        <v>0.10608424336973479</v>
      </c>
      <c r="E105" s="4"/>
      <c r="F105" s="8">
        <f>F97/F75</f>
        <v>7.4672178799819133E-2</v>
      </c>
      <c r="G105" s="4"/>
      <c r="H105" s="4"/>
      <c r="I105" s="8">
        <f>I97/I75</f>
        <v>6.5758025967314768E-2</v>
      </c>
      <c r="J105" s="8">
        <f>J97/J75</f>
        <v>6.302652106084243E-2</v>
      </c>
      <c r="K105" s="9"/>
    </row>
    <row r="106" spans="2:11" s="1" customFormat="1" x14ac:dyDescent="0.25">
      <c r="B106" s="1" t="s">
        <v>12</v>
      </c>
      <c r="D106" s="8">
        <f>D97/D83</f>
        <v>0.39534883720930231</v>
      </c>
      <c r="E106" s="4"/>
      <c r="F106" s="8">
        <f>F97/F83</f>
        <v>0.27085285848172447</v>
      </c>
      <c r="G106" s="4"/>
      <c r="H106" s="4"/>
      <c r="I106" s="8">
        <f>I97/I83</f>
        <v>0.23907937999060591</v>
      </c>
      <c r="J106" s="8">
        <f>J97/J83</f>
        <v>0.23764705882352941</v>
      </c>
      <c r="K106" s="9"/>
    </row>
    <row r="107" spans="2:11" s="1" customFormat="1" x14ac:dyDescent="0.25">
      <c r="E107" s="4"/>
      <c r="G107" s="4"/>
      <c r="H107" s="4"/>
      <c r="K107" s="9"/>
    </row>
    <row r="108" spans="2:11" s="1" customFormat="1" ht="15" x14ac:dyDescent="0.2">
      <c r="B108" s="48" t="s">
        <v>46</v>
      </c>
      <c r="D108" s="8">
        <f>-D88/D87</f>
        <v>0</v>
      </c>
      <c r="E108" s="4"/>
      <c r="F108" s="8">
        <f>-F88/F87</f>
        <v>6.8085106382978725E-2</v>
      </c>
      <c r="G108" s="4"/>
      <c r="H108" s="4"/>
      <c r="I108" s="8">
        <f>-I88/I87</f>
        <v>6.8085106382978725E-2</v>
      </c>
      <c r="J108" s="8">
        <f>-J88/J87</f>
        <v>0</v>
      </c>
      <c r="K108" s="4"/>
    </row>
    <row r="111" spans="2:11" x14ac:dyDescent="0.25">
      <c r="B111" s="10" t="s">
        <v>63</v>
      </c>
      <c r="E111" s="11" t="s">
        <v>16</v>
      </c>
      <c r="F111" s="12"/>
      <c r="H111" s="3" t="s">
        <v>47</v>
      </c>
    </row>
    <row r="112" spans="2:11" x14ac:dyDescent="0.25">
      <c r="B112" s="2"/>
      <c r="E112" s="13" t="s">
        <v>18</v>
      </c>
      <c r="F112" s="20">
        <v>0.5</v>
      </c>
      <c r="H112" s="1" t="s">
        <v>48</v>
      </c>
      <c r="J112" s="4">
        <f t="shared" ref="J112:J122" si="11">J58</f>
        <v>200</v>
      </c>
    </row>
    <row r="113" spans="2:11" x14ac:dyDescent="0.25">
      <c r="B113" s="2"/>
      <c r="E113" s="13"/>
      <c r="F113" s="14"/>
      <c r="H113" s="1" t="s">
        <v>49</v>
      </c>
      <c r="J113" s="4">
        <f t="shared" si="11"/>
        <v>30</v>
      </c>
    </row>
    <row r="114" spans="2:11" x14ac:dyDescent="0.25">
      <c r="B114" s="2"/>
      <c r="E114" s="13" t="s">
        <v>31</v>
      </c>
      <c r="F114" s="14"/>
      <c r="H114" s="1" t="s">
        <v>50</v>
      </c>
      <c r="J114" s="4">
        <f t="shared" si="11"/>
        <v>50</v>
      </c>
    </row>
    <row r="115" spans="2:11" x14ac:dyDescent="0.25">
      <c r="B115" s="2"/>
      <c r="E115" s="13" t="s">
        <v>32</v>
      </c>
      <c r="F115" s="14">
        <v>1600</v>
      </c>
      <c r="H115" s="1" t="s">
        <v>51</v>
      </c>
      <c r="J115" s="4">
        <f t="shared" si="11"/>
        <v>110</v>
      </c>
    </row>
    <row r="116" spans="2:11" x14ac:dyDescent="0.25">
      <c r="B116" s="2"/>
      <c r="E116" s="13" t="s">
        <v>19</v>
      </c>
      <c r="F116" s="14">
        <v>240</v>
      </c>
      <c r="H116" s="1" t="s">
        <v>52</v>
      </c>
      <c r="J116" s="4">
        <f t="shared" si="11"/>
        <v>130</v>
      </c>
    </row>
    <row r="117" spans="2:11" x14ac:dyDescent="0.25">
      <c r="B117" s="2"/>
      <c r="E117" s="15"/>
      <c r="F117" s="17"/>
      <c r="H117" s="1" t="s">
        <v>53</v>
      </c>
      <c r="J117" s="4">
        <f t="shared" si="11"/>
        <v>170</v>
      </c>
    </row>
    <row r="118" spans="2:11" x14ac:dyDescent="0.25">
      <c r="B118" s="2"/>
      <c r="E118" s="2"/>
      <c r="F118" s="2"/>
      <c r="H118" s="1" t="s">
        <v>54</v>
      </c>
      <c r="J118" s="4">
        <f t="shared" si="11"/>
        <v>150</v>
      </c>
    </row>
    <row r="119" spans="2:11" x14ac:dyDescent="0.25">
      <c r="B119" s="2"/>
      <c r="E119" s="22" t="s">
        <v>20</v>
      </c>
      <c r="F119" s="23"/>
      <c r="H119" s="1" t="s">
        <v>55</v>
      </c>
      <c r="J119" s="4">
        <f t="shared" si="11"/>
        <v>60</v>
      </c>
    </row>
    <row r="120" spans="2:11" x14ac:dyDescent="0.25">
      <c r="B120" s="2"/>
      <c r="E120" s="24" t="s">
        <v>21</v>
      </c>
      <c r="F120" s="26">
        <v>0.8</v>
      </c>
      <c r="H120" s="1" t="s">
        <v>56</v>
      </c>
      <c r="J120" s="4">
        <f t="shared" si="11"/>
        <v>190</v>
      </c>
    </row>
    <row r="121" spans="2:11" x14ac:dyDescent="0.25">
      <c r="B121" s="2"/>
      <c r="E121" s="2"/>
      <c r="F121" s="2"/>
      <c r="H121" s="1" t="s">
        <v>57</v>
      </c>
      <c r="J121" s="4">
        <f t="shared" si="11"/>
        <v>200</v>
      </c>
    </row>
    <row r="122" spans="2:11" x14ac:dyDescent="0.25">
      <c r="B122" s="2"/>
      <c r="E122" s="2"/>
      <c r="F122" s="2"/>
      <c r="H122" s="1" t="s">
        <v>58</v>
      </c>
      <c r="J122" s="4">
        <f t="shared" si="11"/>
        <v>90</v>
      </c>
    </row>
    <row r="123" spans="2:11" ht="16.5" thickBot="1" x14ac:dyDescent="0.3">
      <c r="B123" s="2"/>
      <c r="E123" s="2"/>
      <c r="F123" s="2"/>
      <c r="J123" s="18">
        <f>(SUM(J112:J122))</f>
        <v>1380</v>
      </c>
    </row>
    <row r="124" spans="2:11" ht="16.5" thickTop="1" x14ac:dyDescent="0.25"/>
    <row r="125" spans="2:11" x14ac:dyDescent="0.25">
      <c r="B125" s="2" t="s">
        <v>22</v>
      </c>
      <c r="D125" s="44" t="s">
        <v>0</v>
      </c>
      <c r="E125" s="44" t="s">
        <v>17</v>
      </c>
      <c r="F125" s="44" t="s">
        <v>1</v>
      </c>
      <c r="G125" s="51" t="s">
        <v>61</v>
      </c>
      <c r="H125" s="51"/>
      <c r="I125" s="44" t="s">
        <v>59</v>
      </c>
      <c r="J125" s="44" t="s">
        <v>60</v>
      </c>
    </row>
    <row r="126" spans="2:11" x14ac:dyDescent="0.25">
      <c r="B126" s="1" t="s">
        <v>23</v>
      </c>
      <c r="C126" s="4"/>
      <c r="D126" s="4"/>
      <c r="E126" s="4"/>
      <c r="F126" s="4"/>
      <c r="G126" s="4"/>
      <c r="H126" s="4"/>
      <c r="I126" s="4"/>
      <c r="J126" s="4"/>
      <c r="K126" s="4"/>
    </row>
    <row r="127" spans="2:11" x14ac:dyDescent="0.25">
      <c r="B127" s="1" t="s">
        <v>24</v>
      </c>
      <c r="C127" s="4"/>
      <c r="D127" s="4">
        <f>D19</f>
        <v>19800</v>
      </c>
      <c r="E127" s="4">
        <f>-(F115*F112-F116*F112)</f>
        <v>-680</v>
      </c>
      <c r="F127" s="4">
        <f>D127+E127</f>
        <v>19120</v>
      </c>
      <c r="G127" s="4"/>
      <c r="H127" s="4"/>
      <c r="I127" s="4">
        <f>F127</f>
        <v>19120</v>
      </c>
      <c r="J127" s="4">
        <f>D127</f>
        <v>19800</v>
      </c>
      <c r="K127" s="4"/>
    </row>
    <row r="128" spans="2:11" x14ac:dyDescent="0.25">
      <c r="B128" s="1" t="s">
        <v>25</v>
      </c>
      <c r="C128" s="4"/>
      <c r="D128" s="4">
        <f>D20</f>
        <v>12250</v>
      </c>
      <c r="E128" s="4"/>
      <c r="F128" s="4">
        <f>D128+E128</f>
        <v>12250</v>
      </c>
      <c r="G128" s="4"/>
      <c r="H128" s="4"/>
      <c r="I128" s="4">
        <f>F128</f>
        <v>12250</v>
      </c>
      <c r="J128" s="4">
        <f t="shared" ref="J128" si="12">H128+I128</f>
        <v>12250</v>
      </c>
      <c r="K128" s="4"/>
    </row>
    <row r="129" spans="2:11" ht="16.5" thickBot="1" x14ac:dyDescent="0.3">
      <c r="C129" s="4"/>
      <c r="D129" s="5">
        <f>D127+D128</f>
        <v>32050</v>
      </c>
      <c r="E129" s="4"/>
      <c r="F129" s="5">
        <f>F127+F128</f>
        <v>31370</v>
      </c>
      <c r="G129" s="6"/>
      <c r="H129" s="4"/>
      <c r="I129" s="5">
        <f t="shared" ref="I129:J129" si="13">I127+I128</f>
        <v>31370</v>
      </c>
      <c r="J129" s="5">
        <f t="shared" si="13"/>
        <v>32050</v>
      </c>
      <c r="K129" s="4"/>
    </row>
    <row r="130" spans="2:11" x14ac:dyDescent="0.25">
      <c r="C130" s="4"/>
      <c r="D130" s="4"/>
      <c r="E130" s="4"/>
      <c r="F130" s="4"/>
      <c r="G130" s="4"/>
      <c r="H130" s="4"/>
      <c r="I130" s="4"/>
      <c r="J130" s="4"/>
      <c r="K130" s="4"/>
    </row>
    <row r="131" spans="2:11" x14ac:dyDescent="0.25">
      <c r="B131" s="1" t="s">
        <v>26</v>
      </c>
      <c r="C131" s="4"/>
      <c r="D131" s="4"/>
      <c r="E131" s="4"/>
      <c r="F131" s="4"/>
      <c r="G131" s="4"/>
      <c r="H131" s="4"/>
      <c r="I131" s="4"/>
      <c r="J131" s="4"/>
      <c r="K131" s="4"/>
    </row>
    <row r="132" spans="2:11" x14ac:dyDescent="0.25">
      <c r="B132" s="1" t="s">
        <v>27</v>
      </c>
      <c r="C132" s="4"/>
      <c r="D132" s="4">
        <f>D24</f>
        <v>23450</v>
      </c>
      <c r="F132" s="4">
        <f>D132</f>
        <v>23450</v>
      </c>
      <c r="G132" s="4">
        <f>J123-(F115*F120)</f>
        <v>100</v>
      </c>
      <c r="I132" s="4">
        <f>SUM(F132:H132)</f>
        <v>23550</v>
      </c>
      <c r="J132" s="4">
        <f>D132+G132</f>
        <v>23550</v>
      </c>
      <c r="K132" s="4"/>
    </row>
    <row r="133" spans="2:11" x14ac:dyDescent="0.25">
      <c r="B133" s="1" t="s">
        <v>28</v>
      </c>
      <c r="C133" s="4"/>
      <c r="D133" s="4">
        <v>0</v>
      </c>
      <c r="E133" s="4">
        <f>F115*F120*F112</f>
        <v>640</v>
      </c>
      <c r="F133" s="28">
        <f>-E133</f>
        <v>-640</v>
      </c>
      <c r="G133" s="4"/>
      <c r="H133" s="4">
        <f>G132*F112</f>
        <v>50</v>
      </c>
      <c r="I133" s="4">
        <f>-(E133+H133)</f>
        <v>-690</v>
      </c>
      <c r="J133" s="4"/>
      <c r="K133" s="4"/>
    </row>
    <row r="134" spans="2:11" x14ac:dyDescent="0.25">
      <c r="B134" s="1" t="s">
        <v>29</v>
      </c>
      <c r="C134" s="4"/>
      <c r="D134" s="4">
        <f>D132-D133</f>
        <v>23450</v>
      </c>
      <c r="F134" s="4">
        <f>F132+F133</f>
        <v>22810</v>
      </c>
      <c r="G134" s="4"/>
      <c r="H134" s="4"/>
      <c r="I134" s="4">
        <f>I132+I133</f>
        <v>22860</v>
      </c>
      <c r="J134" s="4">
        <f>J132+J133</f>
        <v>23550</v>
      </c>
      <c r="K134" s="4"/>
    </row>
    <row r="135" spans="2:11" x14ac:dyDescent="0.25">
      <c r="C135" s="4"/>
      <c r="D135" s="7">
        <f>D134</f>
        <v>23450</v>
      </c>
      <c r="E135" s="4"/>
      <c r="F135" s="7">
        <f>F134</f>
        <v>22810</v>
      </c>
      <c r="G135" s="6"/>
      <c r="H135" s="4"/>
      <c r="I135" s="7">
        <f>I134</f>
        <v>22860</v>
      </c>
      <c r="J135" s="7">
        <f>J134</f>
        <v>23550</v>
      </c>
      <c r="K135" s="4"/>
    </row>
    <row r="136" spans="2:11" x14ac:dyDescent="0.25">
      <c r="C136" s="4"/>
      <c r="D136" s="4"/>
      <c r="E136" s="4"/>
      <c r="F136" s="4"/>
      <c r="G136" s="4"/>
      <c r="H136" s="4"/>
      <c r="I136" s="4"/>
      <c r="J136" s="4"/>
      <c r="K136" s="4"/>
    </row>
    <row r="137" spans="2:11" x14ac:dyDescent="0.25">
      <c r="B137" s="1" t="s">
        <v>30</v>
      </c>
      <c r="C137" s="4"/>
      <c r="D137" s="4">
        <f>D129-D135</f>
        <v>8600</v>
      </c>
      <c r="E137" s="4">
        <f>E127+E133</f>
        <v>-40</v>
      </c>
      <c r="F137" s="4">
        <f>D137+E137</f>
        <v>8560</v>
      </c>
      <c r="G137" s="4">
        <f>-G132</f>
        <v>-100</v>
      </c>
      <c r="H137" s="4">
        <f>H133</f>
        <v>50</v>
      </c>
      <c r="I137" s="4">
        <f>SUM(F137:H137)</f>
        <v>8510</v>
      </c>
      <c r="J137" s="4">
        <f t="shared" ref="J137" si="14">J129-J135</f>
        <v>8500</v>
      </c>
      <c r="K137" s="4"/>
    </row>
    <row r="138" spans="2:11" ht="16.5" thickBot="1" x14ac:dyDescent="0.3">
      <c r="C138" s="4"/>
      <c r="D138" s="5">
        <f>D137+D135</f>
        <v>32050</v>
      </c>
      <c r="E138" s="4"/>
      <c r="F138" s="5">
        <f>F137+F135</f>
        <v>31370</v>
      </c>
      <c r="G138" s="6"/>
      <c r="H138" s="4"/>
      <c r="I138" s="5">
        <f t="shared" ref="I138:J138" si="15">I137+I135</f>
        <v>31370</v>
      </c>
      <c r="J138" s="5">
        <f t="shared" si="15"/>
        <v>32050</v>
      </c>
      <c r="K138" s="4"/>
    </row>
    <row r="139" spans="2:11" x14ac:dyDescent="0.25">
      <c r="C139" s="4"/>
      <c r="D139" s="4"/>
      <c r="E139" s="4"/>
      <c r="F139" s="4"/>
      <c r="G139" s="4"/>
      <c r="H139" s="4"/>
      <c r="I139" s="4"/>
      <c r="J139" s="4"/>
      <c r="K139" s="4"/>
    </row>
    <row r="140" spans="2:11" x14ac:dyDescent="0.25">
      <c r="B140" s="46" t="s">
        <v>33</v>
      </c>
      <c r="C140" s="4"/>
      <c r="D140" s="4"/>
      <c r="E140" s="4"/>
      <c r="F140" s="4"/>
      <c r="G140" s="4"/>
      <c r="H140" s="4"/>
      <c r="I140" s="4"/>
      <c r="J140" s="4"/>
      <c r="K140" s="4"/>
    </row>
    <row r="141" spans="2:11" x14ac:dyDescent="0.25">
      <c r="B141" s="47" t="s">
        <v>34</v>
      </c>
      <c r="C141" s="4"/>
      <c r="D141" s="4">
        <f>D33</f>
        <v>18800</v>
      </c>
      <c r="F141" s="4">
        <f>D141+E141</f>
        <v>18800</v>
      </c>
      <c r="G141" s="4"/>
      <c r="H141" s="4"/>
      <c r="I141" s="4">
        <f>SUM(F141:H141)</f>
        <v>18800</v>
      </c>
      <c r="J141" s="4">
        <f>D141</f>
        <v>18800</v>
      </c>
      <c r="K141" s="4"/>
    </row>
    <row r="142" spans="2:11" x14ac:dyDescent="0.25">
      <c r="B142" s="47" t="s">
        <v>35</v>
      </c>
      <c r="C142" s="4"/>
      <c r="D142" s="4"/>
      <c r="E142" s="4">
        <f>-F142</f>
        <v>800</v>
      </c>
      <c r="F142" s="4">
        <f>-F115*F112</f>
        <v>-800</v>
      </c>
      <c r="G142" s="4"/>
      <c r="H142" s="4"/>
      <c r="I142" s="4">
        <f>F142</f>
        <v>-800</v>
      </c>
      <c r="J142" s="4"/>
      <c r="K142" s="4"/>
    </row>
    <row r="143" spans="2:11" x14ac:dyDescent="0.25">
      <c r="B143" s="47" t="s">
        <v>36</v>
      </c>
      <c r="C143" s="4"/>
      <c r="D143" s="7">
        <f>D141+D142</f>
        <v>18800</v>
      </c>
      <c r="E143" s="4"/>
      <c r="F143" s="7">
        <f>F141+F142</f>
        <v>18000</v>
      </c>
      <c r="G143" s="4"/>
      <c r="H143" s="4"/>
      <c r="I143" s="4">
        <f t="shared" ref="I143:J143" si="16">I141+I142</f>
        <v>18000</v>
      </c>
      <c r="J143" s="4">
        <f t="shared" si="16"/>
        <v>18800</v>
      </c>
      <c r="K143" s="4"/>
    </row>
    <row r="144" spans="2:11" x14ac:dyDescent="0.25">
      <c r="B144" s="1" t="s">
        <v>3</v>
      </c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6.5" thickBot="1" x14ac:dyDescent="0.3">
      <c r="B145" s="1" t="s">
        <v>37</v>
      </c>
      <c r="C145" s="4"/>
      <c r="D145" s="21">
        <f>D143+D144</f>
        <v>18800</v>
      </c>
      <c r="E145" s="4"/>
      <c r="F145" s="21">
        <f>F143+F144</f>
        <v>18000</v>
      </c>
      <c r="G145" s="4"/>
      <c r="H145" s="4"/>
      <c r="I145" s="21">
        <f>I143+I144</f>
        <v>18000</v>
      </c>
      <c r="J145" s="21">
        <f>J143+J144</f>
        <v>18800</v>
      </c>
      <c r="K145" s="4"/>
    </row>
    <row r="146" spans="2:11" ht="16.5" thickTop="1" x14ac:dyDescent="0.25">
      <c r="B146" s="1" t="s">
        <v>38</v>
      </c>
      <c r="C146" s="4"/>
      <c r="D146" s="4">
        <f>D38</f>
        <v>11750</v>
      </c>
      <c r="E146" s="4"/>
      <c r="F146" s="4">
        <f>D146+E146</f>
        <v>11750</v>
      </c>
      <c r="G146" s="4">
        <f>J123</f>
        <v>1380</v>
      </c>
      <c r="H146" s="4">
        <f>-J123*F112</f>
        <v>-690</v>
      </c>
      <c r="I146" s="4">
        <f>SUM(F146:H146)</f>
        <v>12440</v>
      </c>
      <c r="J146" s="4">
        <f>D146+G146</f>
        <v>13130</v>
      </c>
      <c r="K146" s="4"/>
    </row>
    <row r="147" spans="2:11" x14ac:dyDescent="0.25">
      <c r="B147" s="1" t="s">
        <v>39</v>
      </c>
      <c r="C147" s="4"/>
      <c r="D147" s="4">
        <f>D39</f>
        <v>4000</v>
      </c>
      <c r="E147" s="4">
        <f>-F116*F112</f>
        <v>-120</v>
      </c>
      <c r="F147" s="4">
        <f>D147+E147</f>
        <v>3880</v>
      </c>
      <c r="G147" s="4"/>
      <c r="H147" s="4"/>
      <c r="I147" s="4">
        <f>SUM(F147:H147)</f>
        <v>3880</v>
      </c>
      <c r="J147" s="4">
        <f>D147</f>
        <v>4000</v>
      </c>
      <c r="K147" s="4"/>
    </row>
    <row r="148" spans="2:11" x14ac:dyDescent="0.25">
      <c r="B148" s="1" t="s">
        <v>40</v>
      </c>
      <c r="C148" s="4"/>
      <c r="D148" s="7">
        <f>D145-D146-D147</f>
        <v>3050</v>
      </c>
      <c r="E148" s="4"/>
      <c r="F148" s="7">
        <f>F145-F146-F147</f>
        <v>2370</v>
      </c>
      <c r="G148" s="6"/>
      <c r="H148" s="4"/>
      <c r="I148" s="7">
        <f>I145-I146-I147</f>
        <v>1680</v>
      </c>
      <c r="J148" s="7">
        <f>J141-J146-J147</f>
        <v>1670</v>
      </c>
      <c r="K148" s="4"/>
    </row>
    <row r="149" spans="2:11" x14ac:dyDescent="0.25">
      <c r="C149" s="4"/>
      <c r="D149" s="4"/>
      <c r="E149" s="4"/>
      <c r="F149" s="4"/>
      <c r="G149" s="4"/>
      <c r="H149" s="4"/>
      <c r="I149" s="4"/>
      <c r="J149" s="4"/>
      <c r="K149" s="4"/>
    </row>
    <row r="150" spans="2:11" x14ac:dyDescent="0.25">
      <c r="B150" s="47" t="s">
        <v>41</v>
      </c>
      <c r="C150" s="4"/>
      <c r="D150" s="4">
        <f>D42</f>
        <v>350</v>
      </c>
      <c r="E150" s="4"/>
      <c r="F150" s="4">
        <f>D150+E150</f>
        <v>350</v>
      </c>
      <c r="G150" s="4"/>
      <c r="H150" s="4"/>
      <c r="I150" s="4">
        <f>SUM(F150:H150)</f>
        <v>350</v>
      </c>
      <c r="J150" s="4">
        <f>D150</f>
        <v>350</v>
      </c>
      <c r="K150" s="4"/>
    </row>
    <row r="151" spans="2:11" s="1" customFormat="1" thickBot="1" x14ac:dyDescent="0.25">
      <c r="B151" s="47" t="s">
        <v>42</v>
      </c>
      <c r="C151" s="4"/>
      <c r="D151" s="5">
        <f>D148+D150</f>
        <v>3400</v>
      </c>
      <c r="E151" s="4"/>
      <c r="F151" s="5">
        <f>F148+F150</f>
        <v>2720</v>
      </c>
      <c r="G151" s="6"/>
      <c r="H151" s="4"/>
      <c r="I151" s="5">
        <f>I148+I150</f>
        <v>2030</v>
      </c>
      <c r="J151" s="5">
        <f>J148+J150</f>
        <v>2020</v>
      </c>
      <c r="K151" s="4"/>
    </row>
    <row r="152" spans="2:11" s="1" customFormat="1" ht="15" x14ac:dyDescent="0.2">
      <c r="C152" s="4"/>
      <c r="D152" s="4"/>
      <c r="E152" s="4"/>
      <c r="F152" s="4"/>
      <c r="G152" s="4"/>
      <c r="H152" s="4"/>
      <c r="I152" s="4"/>
      <c r="J152" s="4"/>
      <c r="K152" s="4"/>
    </row>
    <row r="153" spans="2:11" s="1" customFormat="1" ht="15" x14ac:dyDescent="0.2">
      <c r="C153" s="4"/>
      <c r="D153" s="4"/>
      <c r="E153" s="4"/>
      <c r="F153" s="4"/>
      <c r="G153" s="4"/>
      <c r="H153" s="4"/>
      <c r="I153" s="4"/>
      <c r="J153" s="4"/>
      <c r="K153" s="4"/>
    </row>
    <row r="154" spans="2:11" s="1" customFormat="1" x14ac:dyDescent="0.25">
      <c r="B154" s="47" t="s">
        <v>20</v>
      </c>
      <c r="C154" s="4"/>
      <c r="D154" s="8">
        <f>D146/D145</f>
        <v>0.625</v>
      </c>
      <c r="E154" s="4"/>
      <c r="F154" s="8">
        <f>F146/F145</f>
        <v>0.65277777777777779</v>
      </c>
      <c r="G154" s="9"/>
      <c r="H154" s="4"/>
      <c r="I154" s="8">
        <f>I146/I145</f>
        <v>0.69111111111111112</v>
      </c>
      <c r="J154" s="8">
        <f>J146/J145</f>
        <v>0.69840425531914896</v>
      </c>
      <c r="K154" s="9"/>
    </row>
    <row r="155" spans="2:11" s="1" customFormat="1" ht="15" x14ac:dyDescent="0.2">
      <c r="B155" s="47" t="s">
        <v>43</v>
      </c>
      <c r="C155" s="4"/>
      <c r="D155" s="8">
        <f>D147/D141</f>
        <v>0.21276595744680851</v>
      </c>
      <c r="E155" s="4"/>
      <c r="F155" s="8">
        <f>F147/F141</f>
        <v>0.20638297872340425</v>
      </c>
      <c r="G155" s="8"/>
      <c r="H155" s="4"/>
      <c r="I155" s="8">
        <f>I147/I141</f>
        <v>0.20638297872340425</v>
      </c>
      <c r="J155" s="8">
        <f>J147/J141</f>
        <v>0.21276595744680851</v>
      </c>
      <c r="K155" s="8"/>
    </row>
    <row r="156" spans="2:11" s="1" customFormat="1" ht="15" x14ac:dyDescent="0.2">
      <c r="B156" s="47" t="s">
        <v>44</v>
      </c>
      <c r="C156" s="4"/>
      <c r="D156" s="8">
        <f>D154+D155</f>
        <v>0.83776595744680848</v>
      </c>
      <c r="E156" s="4"/>
      <c r="F156" s="8">
        <f>F154+F155</f>
        <v>0.85916075650118207</v>
      </c>
      <c r="G156" s="8"/>
      <c r="H156" s="4"/>
      <c r="I156" s="8">
        <f>I154+I155</f>
        <v>0.8974940898345154</v>
      </c>
      <c r="J156" s="8">
        <f>J154+J155</f>
        <v>0.91117021276595744</v>
      </c>
      <c r="K156" s="8"/>
    </row>
    <row r="157" spans="2:11" s="1" customFormat="1" ht="15" x14ac:dyDescent="0.2">
      <c r="C157" s="4"/>
      <c r="D157" s="4"/>
      <c r="E157" s="4"/>
      <c r="F157" s="4"/>
      <c r="G157" s="4"/>
      <c r="H157" s="4"/>
      <c r="I157" s="4"/>
      <c r="J157" s="4"/>
      <c r="K157" s="4"/>
    </row>
    <row r="158" spans="2:11" s="1" customFormat="1" ht="15" x14ac:dyDescent="0.2">
      <c r="B158" s="47" t="s">
        <v>45</v>
      </c>
      <c r="C158" s="4"/>
      <c r="D158" s="8">
        <f>D143/D137</f>
        <v>2.1860465116279069</v>
      </c>
      <c r="E158" s="4"/>
      <c r="F158" s="8">
        <f t="shared" ref="F158" si="17">F143/F137</f>
        <v>2.1028037383177569</v>
      </c>
      <c r="G158" s="4"/>
      <c r="H158" s="4"/>
      <c r="I158" s="8">
        <f>I141/I137</f>
        <v>2.2091656874265571</v>
      </c>
      <c r="J158" s="8">
        <f>J141/J137</f>
        <v>2.2117647058823531</v>
      </c>
      <c r="K158" s="4"/>
    </row>
    <row r="159" spans="2:11" s="1" customFormat="1" x14ac:dyDescent="0.25">
      <c r="B159" s="1" t="s">
        <v>11</v>
      </c>
      <c r="D159" s="8">
        <f>D151/D129</f>
        <v>0.10608424336973479</v>
      </c>
      <c r="E159" s="4"/>
      <c r="F159" s="8">
        <f>F151/F129</f>
        <v>8.6707044947401973E-2</v>
      </c>
      <c r="G159" s="4"/>
      <c r="H159" s="4"/>
      <c r="I159" s="8">
        <f>I151/I129</f>
        <v>6.4711507810009561E-2</v>
      </c>
      <c r="J159" s="8">
        <f>J151/J129</f>
        <v>6.302652106084243E-2</v>
      </c>
      <c r="K159" s="9"/>
    </row>
    <row r="160" spans="2:11" s="1" customFormat="1" ht="15" x14ac:dyDescent="0.2">
      <c r="B160" s="1" t="s">
        <v>12</v>
      </c>
      <c r="D160" s="8">
        <f>D151/D137</f>
        <v>0.39534883720930231</v>
      </c>
      <c r="E160" s="4"/>
      <c r="F160" s="8">
        <f>F151/F137</f>
        <v>0.31775700934579437</v>
      </c>
      <c r="G160" s="4"/>
      <c r="H160" s="4"/>
      <c r="I160" s="8">
        <f>I151/I137</f>
        <v>0.23854289071680376</v>
      </c>
      <c r="J160" s="8">
        <f>J151/J137</f>
        <v>0.23764705882352941</v>
      </c>
      <c r="K160" s="4"/>
    </row>
    <row r="161" spans="2:11" s="1" customFormat="1" ht="15" x14ac:dyDescent="0.2">
      <c r="E161" s="4"/>
      <c r="G161" s="4"/>
      <c r="H161" s="4"/>
      <c r="K161" s="4"/>
    </row>
    <row r="162" spans="2:11" s="1" customFormat="1" ht="15" x14ac:dyDescent="0.2">
      <c r="B162" s="48" t="s">
        <v>46</v>
      </c>
      <c r="D162" s="8">
        <f>-D142/D141</f>
        <v>0</v>
      </c>
      <c r="E162" s="4"/>
      <c r="F162" s="8">
        <f>-F142/F141</f>
        <v>4.2553191489361701E-2</v>
      </c>
      <c r="G162" s="4"/>
      <c r="H162" s="4"/>
      <c r="I162" s="8">
        <f>-I142/I141</f>
        <v>4.2553191489361701E-2</v>
      </c>
      <c r="J162" s="8">
        <f>-J142/J141</f>
        <v>0</v>
      </c>
      <c r="K162" s="4"/>
    </row>
  </sheetData>
  <autoFilter ref="H3:H5"/>
  <mergeCells count="3">
    <mergeCell ref="G17:H17"/>
    <mergeCell ref="G71:H71"/>
    <mergeCell ref="G125:H125"/>
  </mergeCells>
  <pageMargins left="0.25" right="0.25" top="0.75" bottom="0.75" header="0.3" footer="0.3"/>
  <pageSetup scale="66" orientation="portrait" r:id="rId1"/>
  <rowBreaks count="2" manualBreakCount="2">
    <brk id="55" max="5" man="1"/>
    <brk id="109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L33" sqref="L33"/>
    </sheetView>
  </sheetViews>
  <sheetFormatPr baseColWidth="10" defaultColWidth="9.140625"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101</v>
      </c>
      <c r="C6" s="40">
        <f>'Comparación A, B &amp; C'!C36</f>
        <v>2.1860465116279069</v>
      </c>
      <c r="D6" s="40">
        <f>'Comparación A, B &amp; C'!D36</f>
        <v>2.12127032910744</v>
      </c>
      <c r="E6" s="40">
        <f>'Comparación A, B &amp; C'!E36</f>
        <v>2.1292106586224233</v>
      </c>
      <c r="F6" s="40">
        <f>'Comparación A, B &amp; C'!F36</f>
        <v>2.1712158808933002</v>
      </c>
      <c r="G6" s="40">
        <f>'Comparación A, B &amp; C'!G36</f>
        <v>2.1860465116279069</v>
      </c>
    </row>
    <row r="7" spans="2:7" x14ac:dyDescent="0.25">
      <c r="B7" t="s">
        <v>102</v>
      </c>
      <c r="D7" s="40">
        <f>'Comparación A, B &amp; C'!I36</f>
        <v>2.17845870594424</v>
      </c>
      <c r="E7" s="40">
        <f>'Comparación A, B &amp; C'!J36</f>
        <v>2.2629599785119527</v>
      </c>
      <c r="F7" s="40">
        <f>'Comparación A, B &amp; C'!K36</f>
        <v>2.4104683195592287</v>
      </c>
      <c r="G7" s="40">
        <f>'Comparación A, B &amp; C'!L36</f>
        <v>5.0133333333333336</v>
      </c>
    </row>
  </sheetData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topLeftCell="A10" zoomScale="150" zoomScaleNormal="150" workbookViewId="0">
      <selection activeCell="J8" sqref="J8"/>
    </sheetView>
  </sheetViews>
  <sheetFormatPr baseColWidth="10" defaultColWidth="9.140625"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103</v>
      </c>
      <c r="C6" s="40">
        <f>'Comparación A, B &amp; C'!C38</f>
        <v>0.39534883720930231</v>
      </c>
      <c r="D6" s="40">
        <f>'Comparación A, B &amp; C'!D38</f>
        <v>0.17838391599436548</v>
      </c>
      <c r="E6" s="40">
        <f>'Comparación A, B &amp; C'!E38</f>
        <v>0.21769733534439417</v>
      </c>
      <c r="F6" s="40">
        <f>'Comparación A, B &amp; C'!F38</f>
        <v>0.27543424317617865</v>
      </c>
      <c r="G6" s="40">
        <f>'Comparación A, B &amp; C'!G38</f>
        <v>0.39534883720930231</v>
      </c>
    </row>
    <row r="7" spans="2:7" x14ac:dyDescent="0.25">
      <c r="B7" t="s">
        <v>104</v>
      </c>
      <c r="D7" s="40">
        <f>'Comparación A, B &amp; C'!I38</f>
        <v>0.14781693845344557</v>
      </c>
      <c r="E7" s="40">
        <f>'Comparación A, B &amp; C'!J38</f>
        <v>0.1297340854149879</v>
      </c>
      <c r="F7" s="40">
        <f>'Comparación A, B &amp; C'!K38</f>
        <v>0.10743801652892562</v>
      </c>
      <c r="G7" s="40">
        <f>'Comparación A, B &amp; C'!L38</f>
        <v>-0.72799999999999998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topLeftCell="A13" zoomScale="150" zoomScaleNormal="150" workbookViewId="0">
      <selection activeCell="J29" sqref="J29"/>
    </sheetView>
  </sheetViews>
  <sheetFormatPr baseColWidth="10" defaultColWidth="9.140625"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105</v>
      </c>
      <c r="C6" s="40">
        <f>'Comparación A, B &amp; C'!C37</f>
        <v>0.10608424336973479</v>
      </c>
      <c r="D6" s="40">
        <f>'Comparación A, B &amp; C'!D37</f>
        <v>4.6366874147055884E-2</v>
      </c>
      <c r="E6" s="40">
        <f>'Comparación A, B &amp; C'!E37</f>
        <v>5.7007438614969388E-2</v>
      </c>
      <c r="F6" s="40">
        <f>'Comparación A, B &amp; C'!F37</f>
        <v>7.1914480077745382E-2</v>
      </c>
      <c r="G6" s="40">
        <f>'Comparación A, B &amp; C'!G37</f>
        <v>0.10608424336973479</v>
      </c>
    </row>
    <row r="7" spans="2:7" x14ac:dyDescent="0.25">
      <c r="B7" t="s">
        <v>106</v>
      </c>
      <c r="D7" s="40">
        <f>'Comparación A, B &amp; C'!I37</f>
        <v>3.7413041307459309E-2</v>
      </c>
      <c r="E7" s="40">
        <f>'Comparación A, B &amp; C'!J37</f>
        <v>3.188960781724548E-2</v>
      </c>
      <c r="F7" s="40">
        <f>'Comparación A, B &amp; C'!K37</f>
        <v>2.5267249757045675E-2</v>
      </c>
      <c r="G7" s="40">
        <f>'Comparación A, B &amp; C'!L37</f>
        <v>-8.5179407176287053E-2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tabSelected="1" zoomScale="150" zoomScaleNormal="150" workbookViewId="0">
      <selection activeCell="J14" sqref="J14"/>
    </sheetView>
  </sheetViews>
  <sheetFormatPr baseColWidth="10" defaultColWidth="9.140625" defaultRowHeight="15" x14ac:dyDescent="0.25"/>
  <cols>
    <col min="2" max="2" width="15.28515625" customWidth="1"/>
  </cols>
  <sheetData>
    <row r="5" spans="2:7" x14ac:dyDescent="0.25">
      <c r="C5" t="s">
        <v>94</v>
      </c>
      <c r="D5" t="s">
        <v>95</v>
      </c>
      <c r="E5" t="s">
        <v>96</v>
      </c>
      <c r="F5" t="s">
        <v>70</v>
      </c>
    </row>
    <row r="6" spans="2:7" x14ac:dyDescent="0.25">
      <c r="B6" t="s">
        <v>107</v>
      </c>
      <c r="C6" s="40">
        <f>'Comparación A, B &amp; C'!I40</f>
        <v>0.11888297872340425</v>
      </c>
      <c r="D6" s="40">
        <f>'Comparación A, B &amp; C'!J40</f>
        <v>0.10372340425531915</v>
      </c>
      <c r="E6" s="40">
        <f>'Comparación A, B &amp; C'!K40</f>
        <v>6.9148936170212769E-2</v>
      </c>
      <c r="F6" s="40">
        <f>'Comparación A, B &amp; C'!L40</f>
        <v>0</v>
      </c>
      <c r="G6" s="40"/>
    </row>
    <row r="7" spans="2:7" x14ac:dyDescent="0.25">
      <c r="D7" s="40"/>
      <c r="E7" s="40"/>
      <c r="F7" s="40"/>
      <c r="G7" s="4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3"/>
  <sheetViews>
    <sheetView topLeftCell="A154" zoomScaleNormal="100" workbookViewId="0">
      <selection activeCell="F124" sqref="F124"/>
    </sheetView>
  </sheetViews>
  <sheetFormatPr baseColWidth="10" defaultColWidth="9.140625" defaultRowHeight="15.75" x14ac:dyDescent="0.25"/>
  <cols>
    <col min="1" max="1" width="6.140625" style="1" customWidth="1"/>
    <col min="2" max="2" width="29.28515625" style="1" customWidth="1"/>
    <col min="3" max="3" width="4.5703125" style="1" customWidth="1"/>
    <col min="4" max="4" width="11" style="1" customWidth="1"/>
    <col min="5" max="5" width="30.42578125" style="1" customWidth="1"/>
    <col min="6" max="6" width="11.5703125" style="1" bestFit="1" customWidth="1"/>
    <col min="7" max="7" width="10.7109375" style="1" customWidth="1"/>
    <col min="8" max="8" width="10.42578125" style="1" bestFit="1" customWidth="1"/>
    <col min="9" max="9" width="10.7109375" style="1" customWidth="1"/>
    <col min="10" max="10" width="15.5703125" style="1" customWidth="1"/>
    <col min="11" max="11" width="12.7109375" style="1" customWidth="1"/>
    <col min="15" max="15" width="14.140625" customWidth="1"/>
  </cols>
  <sheetData>
    <row r="1" spans="2:18" x14ac:dyDescent="0.25">
      <c r="B1" s="2"/>
    </row>
    <row r="2" spans="2:18" x14ac:dyDescent="0.25">
      <c r="B2" s="10" t="s">
        <v>64</v>
      </c>
      <c r="E2" s="11" t="s">
        <v>16</v>
      </c>
      <c r="F2" s="12"/>
      <c r="H2" s="3" t="s">
        <v>47</v>
      </c>
    </row>
    <row r="3" spans="2:18" x14ac:dyDescent="0.25">
      <c r="B3" s="2"/>
      <c r="E3" s="13" t="s">
        <v>71</v>
      </c>
      <c r="F3" s="14">
        <v>4000</v>
      </c>
      <c r="H3" s="1" t="s">
        <v>67</v>
      </c>
      <c r="J3" s="27">
        <v>4250</v>
      </c>
      <c r="P3">
        <v>1</v>
      </c>
      <c r="Q3">
        <v>2</v>
      </c>
      <c r="R3">
        <v>3</v>
      </c>
    </row>
    <row r="4" spans="2:18" x14ac:dyDescent="0.25">
      <c r="B4" s="2"/>
      <c r="E4" s="13" t="s">
        <v>72</v>
      </c>
      <c r="F4" s="14">
        <v>500</v>
      </c>
      <c r="H4" s="1" t="s">
        <v>68</v>
      </c>
      <c r="J4" s="27">
        <v>500</v>
      </c>
      <c r="O4" t="s">
        <v>13</v>
      </c>
      <c r="P4" s="42">
        <f>F4</f>
        <v>500</v>
      </c>
      <c r="Q4">
        <f>F49+F51+F53</f>
        <v>670</v>
      </c>
      <c r="R4">
        <f>F98+F101+F103</f>
        <v>715</v>
      </c>
    </row>
    <row r="5" spans="2:18" ht="16.5" thickBot="1" x14ac:dyDescent="0.3">
      <c r="B5" s="2"/>
      <c r="E5" s="15" t="s">
        <v>73</v>
      </c>
      <c r="F5" s="16">
        <v>200</v>
      </c>
      <c r="J5" s="18">
        <f>J3+J4</f>
        <v>4750</v>
      </c>
      <c r="O5" t="s">
        <v>14</v>
      </c>
      <c r="P5" s="42">
        <f>F5+J3-F5-F3+J4</f>
        <v>750</v>
      </c>
      <c r="Q5">
        <f>F50+F50</f>
        <v>400</v>
      </c>
      <c r="R5">
        <f>F99</f>
        <v>200</v>
      </c>
    </row>
    <row r="6" spans="2:18" ht="16.5" thickTop="1" x14ac:dyDescent="0.25">
      <c r="P6" s="42">
        <f>P5+P4</f>
        <v>1250</v>
      </c>
      <c r="Q6" s="42">
        <f>Q5+Q4</f>
        <v>1070</v>
      </c>
      <c r="R6" s="42">
        <f>R5+R4</f>
        <v>915</v>
      </c>
    </row>
    <row r="7" spans="2:18" x14ac:dyDescent="0.25">
      <c r="B7" s="2" t="s">
        <v>22</v>
      </c>
      <c r="D7" s="19" t="s">
        <v>0</v>
      </c>
      <c r="E7" s="44" t="s">
        <v>69</v>
      </c>
      <c r="F7" s="19" t="s">
        <v>1</v>
      </c>
      <c r="G7" s="51" t="s">
        <v>61</v>
      </c>
      <c r="H7" s="51"/>
      <c r="I7" s="19" t="s">
        <v>2</v>
      </c>
      <c r="J7" s="19" t="s">
        <v>70</v>
      </c>
    </row>
    <row r="8" spans="2:18" x14ac:dyDescent="0.25">
      <c r="B8" s="1" t="s">
        <v>23</v>
      </c>
      <c r="C8" s="4"/>
      <c r="D8" s="4"/>
      <c r="E8" s="4"/>
      <c r="F8" s="4"/>
      <c r="G8" s="4"/>
      <c r="H8" s="4"/>
      <c r="I8" s="4"/>
      <c r="J8" s="4"/>
      <c r="K8" s="4"/>
    </row>
    <row r="9" spans="2:18" x14ac:dyDescent="0.25">
      <c r="B9" s="1" t="s">
        <v>24</v>
      </c>
      <c r="C9" s="4"/>
      <c r="D9" s="4">
        <f>'Cuota Parte'!D19</f>
        <v>19800</v>
      </c>
      <c r="E9" s="4">
        <f>-F4</f>
        <v>-500</v>
      </c>
      <c r="F9" s="4">
        <f>D9+E9</f>
        <v>19300</v>
      </c>
      <c r="G9" s="4"/>
      <c r="H9" s="4"/>
      <c r="I9" s="4">
        <f>F9</f>
        <v>19300</v>
      </c>
      <c r="J9" s="4">
        <f>D9</f>
        <v>19800</v>
      </c>
      <c r="K9" s="4"/>
    </row>
    <row r="10" spans="2:18" x14ac:dyDescent="0.25">
      <c r="B10" s="1" t="s">
        <v>25</v>
      </c>
      <c r="C10" s="4"/>
      <c r="D10" s="4">
        <f>'Cuota Parte'!D20</f>
        <v>12250</v>
      </c>
      <c r="E10" s="4"/>
      <c r="F10" s="4">
        <f>D10+E10</f>
        <v>12250</v>
      </c>
      <c r="G10" s="4"/>
      <c r="H10" s="4"/>
      <c r="I10" s="4">
        <f>F10</f>
        <v>12250</v>
      </c>
      <c r="J10" s="4">
        <f t="shared" ref="J10" si="0">H10+I10</f>
        <v>12250</v>
      </c>
      <c r="K10" s="4"/>
    </row>
    <row r="11" spans="2:18" ht="16.5" thickBot="1" x14ac:dyDescent="0.3">
      <c r="C11" s="4"/>
      <c r="D11" s="5">
        <f>D9+D10</f>
        <v>32050</v>
      </c>
      <c r="E11" s="4"/>
      <c r="F11" s="5">
        <f>F9+F10</f>
        <v>31550</v>
      </c>
      <c r="G11" s="6"/>
      <c r="H11" s="4"/>
      <c r="I11" s="5">
        <f t="shared" ref="I11:J11" si="1">I9+I10</f>
        <v>31550</v>
      </c>
      <c r="J11" s="5">
        <f t="shared" si="1"/>
        <v>32050</v>
      </c>
      <c r="K11" s="4"/>
    </row>
    <row r="12" spans="2:18" x14ac:dyDescent="0.25">
      <c r="C12" s="4"/>
      <c r="D12" s="4"/>
      <c r="E12" s="4"/>
      <c r="F12" s="4"/>
      <c r="G12" s="4"/>
      <c r="H12" s="4"/>
      <c r="I12" s="4"/>
      <c r="J12" s="4"/>
      <c r="K12" s="4"/>
    </row>
    <row r="13" spans="2:18" x14ac:dyDescent="0.25">
      <c r="B13" s="1" t="s">
        <v>26</v>
      </c>
      <c r="C13" s="4"/>
      <c r="D13" s="4"/>
      <c r="E13" s="4"/>
      <c r="F13" s="4"/>
      <c r="G13" s="4"/>
      <c r="H13" s="4"/>
      <c r="I13" s="4"/>
      <c r="J13" s="4"/>
      <c r="K13" s="4"/>
    </row>
    <row r="14" spans="2:18" x14ac:dyDescent="0.25">
      <c r="B14" s="1" t="s">
        <v>27</v>
      </c>
      <c r="C14" s="4"/>
      <c r="D14" s="4">
        <f>'Cuota Parte'!D24</f>
        <v>23450</v>
      </c>
      <c r="E14" s="4"/>
      <c r="F14" s="4">
        <f>D14</f>
        <v>23450</v>
      </c>
      <c r="G14" s="4">
        <f>J3+J4</f>
        <v>4750</v>
      </c>
      <c r="I14" s="4">
        <f>SUM(F14:H14)</f>
        <v>28200</v>
      </c>
      <c r="J14" s="4">
        <f>D14+G14</f>
        <v>28200</v>
      </c>
      <c r="K14" s="4"/>
    </row>
    <row r="15" spans="2:18" x14ac:dyDescent="0.25">
      <c r="B15" s="1" t="s">
        <v>28</v>
      </c>
      <c r="C15" s="4"/>
      <c r="D15" s="4">
        <v>0</v>
      </c>
      <c r="F15" s="28">
        <f>-E15</f>
        <v>0</v>
      </c>
      <c r="G15" s="4"/>
      <c r="H15" s="4">
        <f>IF((J3-F5)&gt;F3,F3,(J3-F5))</f>
        <v>4000</v>
      </c>
      <c r="I15" s="4">
        <f>-(E15+H15)</f>
        <v>-4000</v>
      </c>
      <c r="J15" s="4"/>
      <c r="K15" s="4"/>
    </row>
    <row r="16" spans="2:18" x14ac:dyDescent="0.25">
      <c r="B16" s="1" t="s">
        <v>29</v>
      </c>
      <c r="C16" s="4"/>
      <c r="D16" s="4">
        <f>D14-D15</f>
        <v>23450</v>
      </c>
      <c r="E16" s="4"/>
      <c r="F16" s="4">
        <f>F14+F15</f>
        <v>23450</v>
      </c>
      <c r="G16" s="6"/>
      <c r="H16" s="4"/>
      <c r="I16" s="4">
        <f>I14+I15</f>
        <v>24200</v>
      </c>
      <c r="J16" s="4">
        <f>J14+J15</f>
        <v>28200</v>
      </c>
      <c r="K16" s="4"/>
    </row>
    <row r="17" spans="2:11" x14ac:dyDescent="0.25">
      <c r="C17" s="4"/>
      <c r="D17" s="7">
        <f>D16</f>
        <v>23450</v>
      </c>
      <c r="E17" s="4"/>
      <c r="F17" s="7">
        <f>F16</f>
        <v>23450</v>
      </c>
      <c r="G17" s="6"/>
      <c r="H17" s="4"/>
      <c r="I17" s="7">
        <f>I16</f>
        <v>24200</v>
      </c>
      <c r="J17" s="7">
        <f>J16</f>
        <v>28200</v>
      </c>
      <c r="K17" s="4"/>
    </row>
    <row r="18" spans="2:11" x14ac:dyDescent="0.25"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25">
      <c r="B19" s="1" t="s">
        <v>30</v>
      </c>
      <c r="C19" s="4"/>
      <c r="D19" s="4">
        <f>D11-D16</f>
        <v>8600</v>
      </c>
      <c r="E19" s="4">
        <f>E9</f>
        <v>-500</v>
      </c>
      <c r="F19" s="4">
        <f>D19+E19</f>
        <v>8100</v>
      </c>
      <c r="G19" s="4">
        <f>-G14</f>
        <v>-4750</v>
      </c>
      <c r="H19" s="4">
        <f>H15</f>
        <v>4000</v>
      </c>
      <c r="I19" s="4">
        <f>SUM(F19:H19)</f>
        <v>7350</v>
      </c>
      <c r="J19" s="4">
        <f t="shared" ref="J19" si="2">J11-J16</f>
        <v>3850</v>
      </c>
      <c r="K19" s="4"/>
    </row>
    <row r="20" spans="2:11" ht="16.5" thickBot="1" x14ac:dyDescent="0.3">
      <c r="C20" s="4"/>
      <c r="D20" s="5">
        <f>D19+D16</f>
        <v>32050</v>
      </c>
      <c r="E20" s="4"/>
      <c r="F20" s="5">
        <f>F19+F16</f>
        <v>31550</v>
      </c>
      <c r="G20" s="6"/>
      <c r="H20" s="4"/>
      <c r="I20" s="5">
        <f t="shared" ref="I20:J20" si="3">I19+I16</f>
        <v>31550</v>
      </c>
      <c r="J20" s="5">
        <f t="shared" si="3"/>
        <v>32050</v>
      </c>
      <c r="K20" s="4"/>
    </row>
    <row r="21" spans="2:11" x14ac:dyDescent="0.25">
      <c r="C21" s="4"/>
      <c r="D21" s="4"/>
      <c r="E21" s="4"/>
      <c r="F21" s="4"/>
      <c r="G21" s="4"/>
      <c r="H21" s="4"/>
      <c r="I21" s="4"/>
      <c r="J21" s="4"/>
      <c r="K21" s="4"/>
    </row>
    <row r="22" spans="2:11" x14ac:dyDescent="0.25">
      <c r="B22" s="46" t="s">
        <v>33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47" t="s">
        <v>34</v>
      </c>
      <c r="C23" s="4"/>
      <c r="D23" s="4">
        <f>'Cuota Parte'!D33</f>
        <v>18800</v>
      </c>
      <c r="F23" s="4">
        <f>D23+E23</f>
        <v>18800</v>
      </c>
      <c r="G23" s="4"/>
      <c r="H23" s="4"/>
      <c r="I23" s="4">
        <f>SUM(F23:H23)</f>
        <v>18800</v>
      </c>
      <c r="J23" s="4">
        <f>D23</f>
        <v>18800</v>
      </c>
      <c r="K23" s="4"/>
    </row>
    <row r="24" spans="2:11" x14ac:dyDescent="0.25">
      <c r="B24" s="47" t="s">
        <v>35</v>
      </c>
      <c r="C24" s="4"/>
      <c r="D24" s="4"/>
      <c r="E24" s="4">
        <f>F4</f>
        <v>500</v>
      </c>
      <c r="F24" s="4">
        <f>-E24</f>
        <v>-500</v>
      </c>
      <c r="G24" s="4"/>
      <c r="H24" s="4"/>
      <c r="I24" s="4">
        <f>F24</f>
        <v>-500</v>
      </c>
      <c r="J24" s="4"/>
      <c r="K24" s="4"/>
    </row>
    <row r="25" spans="2:11" x14ac:dyDescent="0.25">
      <c r="B25" s="47" t="s">
        <v>36</v>
      </c>
      <c r="C25" s="4"/>
      <c r="D25" s="4">
        <f>D23+D24</f>
        <v>18800</v>
      </c>
      <c r="E25" s="4"/>
      <c r="F25" s="4">
        <f>F23+F24</f>
        <v>18300</v>
      </c>
      <c r="G25" s="4"/>
      <c r="H25" s="4"/>
      <c r="I25" s="4">
        <f t="shared" ref="I25:J25" si="4">I23+I24</f>
        <v>18300</v>
      </c>
      <c r="J25" s="4">
        <f t="shared" si="4"/>
        <v>18800</v>
      </c>
      <c r="K25" s="4"/>
    </row>
    <row r="26" spans="2:11" x14ac:dyDescent="0.25">
      <c r="B26" s="1" t="s">
        <v>3</v>
      </c>
      <c r="C26" s="4"/>
      <c r="D26" s="4"/>
      <c r="E26" s="4"/>
      <c r="F26" s="4">
        <f>D26-E26</f>
        <v>0</v>
      </c>
      <c r="G26" s="4"/>
      <c r="H26" s="4"/>
      <c r="I26" s="4"/>
      <c r="J26" s="4"/>
      <c r="K26" s="4"/>
    </row>
    <row r="27" spans="2:11" x14ac:dyDescent="0.25">
      <c r="B27" s="1" t="s">
        <v>37</v>
      </c>
      <c r="C27" s="4"/>
      <c r="D27" s="4">
        <f>D25+D26</f>
        <v>18800</v>
      </c>
      <c r="E27" s="4"/>
      <c r="F27" s="4">
        <f>F25+F26</f>
        <v>18300</v>
      </c>
      <c r="G27" s="4"/>
      <c r="H27" s="4"/>
      <c r="I27" s="4">
        <f t="shared" ref="I27:J27" si="5">I25+I26</f>
        <v>18300</v>
      </c>
      <c r="J27" s="4">
        <f t="shared" si="5"/>
        <v>18800</v>
      </c>
      <c r="K27" s="4"/>
    </row>
    <row r="28" spans="2:11" x14ac:dyDescent="0.25">
      <c r="B28" s="1" t="s">
        <v>38</v>
      </c>
      <c r="C28" s="4"/>
      <c r="D28" s="4">
        <f>'Cuota Parte'!D38</f>
        <v>11750</v>
      </c>
      <c r="E28" s="4"/>
      <c r="F28" s="4">
        <f>D28+E28</f>
        <v>11750</v>
      </c>
      <c r="G28" s="4">
        <f>G14</f>
        <v>4750</v>
      </c>
      <c r="H28" s="4">
        <f>-H15</f>
        <v>-4000</v>
      </c>
      <c r="I28" s="4">
        <f>SUM(F28:H28)</f>
        <v>12500</v>
      </c>
      <c r="J28" s="4">
        <f>D28+G28</f>
        <v>16500</v>
      </c>
      <c r="K28" s="4"/>
    </row>
    <row r="29" spans="2:11" x14ac:dyDescent="0.25">
      <c r="B29" s="1" t="s">
        <v>39</v>
      </c>
      <c r="C29" s="4"/>
      <c r="D29" s="4">
        <f>'Cuota Parte'!D39</f>
        <v>4000</v>
      </c>
      <c r="E29" s="4"/>
      <c r="F29" s="4">
        <f>D29+E29</f>
        <v>4000</v>
      </c>
      <c r="G29" s="4"/>
      <c r="H29" s="4"/>
      <c r="I29" s="4">
        <f>SUM(F29:H29)</f>
        <v>4000</v>
      </c>
      <c r="J29" s="4">
        <f>D29</f>
        <v>4000</v>
      </c>
      <c r="K29" s="4"/>
    </row>
    <row r="30" spans="2:11" x14ac:dyDescent="0.25">
      <c r="B30" s="1" t="s">
        <v>40</v>
      </c>
      <c r="C30" s="4"/>
      <c r="D30" s="7">
        <f>D27-D28-D29</f>
        <v>3050</v>
      </c>
      <c r="E30" s="4"/>
      <c r="F30" s="7">
        <f>F27-F28-F29</f>
        <v>2550</v>
      </c>
      <c r="G30" s="6"/>
      <c r="H30" s="4"/>
      <c r="I30" s="7">
        <f>I27-I28-I29</f>
        <v>1800</v>
      </c>
      <c r="J30" s="7">
        <f>J23-J28-J29</f>
        <v>-1700</v>
      </c>
      <c r="K30" s="4"/>
    </row>
    <row r="31" spans="2:11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2:11" x14ac:dyDescent="0.25">
      <c r="B32" s="47" t="s">
        <v>41</v>
      </c>
      <c r="C32" s="4"/>
      <c r="D32" s="4">
        <f>'Cuota Parte'!D42</f>
        <v>350</v>
      </c>
      <c r="E32" s="4"/>
      <c r="F32" s="4">
        <f>D32+E32</f>
        <v>350</v>
      </c>
      <c r="G32" s="4"/>
      <c r="H32" s="4"/>
      <c r="I32" s="4">
        <f>SUM(F32:H32)</f>
        <v>350</v>
      </c>
      <c r="J32" s="4">
        <f>D32</f>
        <v>350</v>
      </c>
      <c r="K32" s="4"/>
    </row>
    <row r="33" spans="2:11" ht="16.5" thickBot="1" x14ac:dyDescent="0.3">
      <c r="B33" s="47" t="s">
        <v>42</v>
      </c>
      <c r="C33" s="4"/>
      <c r="D33" s="5">
        <f>D30+D32</f>
        <v>3400</v>
      </c>
      <c r="E33" s="4"/>
      <c r="F33" s="5">
        <f>F30+F32</f>
        <v>2900</v>
      </c>
      <c r="G33" s="6"/>
      <c r="H33" s="4"/>
      <c r="I33" s="5">
        <f>I30+I32</f>
        <v>2150</v>
      </c>
      <c r="J33" s="5">
        <f>J30+J32</f>
        <v>-1350</v>
      </c>
      <c r="K33" s="4"/>
    </row>
    <row r="34" spans="2:11" x14ac:dyDescent="0.25"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7" t="s">
        <v>20</v>
      </c>
      <c r="C36" s="4"/>
      <c r="D36" s="8">
        <f>D28/D27</f>
        <v>0.625</v>
      </c>
      <c r="E36" s="4"/>
      <c r="F36" s="8">
        <f>F28/F27</f>
        <v>0.64207650273224048</v>
      </c>
      <c r="G36" s="9"/>
      <c r="H36" s="4"/>
      <c r="I36" s="8">
        <f>I28/I27</f>
        <v>0.68306010928961747</v>
      </c>
      <c r="J36" s="8">
        <f>J28/J27</f>
        <v>0.87765957446808507</v>
      </c>
      <c r="K36" s="9"/>
    </row>
    <row r="37" spans="2:11" x14ac:dyDescent="0.25">
      <c r="B37" s="47" t="s">
        <v>43</v>
      </c>
      <c r="C37" s="4"/>
      <c r="D37" s="8">
        <f>D29/D23</f>
        <v>0.21276595744680851</v>
      </c>
      <c r="E37" s="4"/>
      <c r="F37" s="8">
        <f>F29/F23</f>
        <v>0.21276595744680851</v>
      </c>
      <c r="G37" s="8"/>
      <c r="H37" s="4"/>
      <c r="I37" s="8">
        <f>I29/I23</f>
        <v>0.21276595744680851</v>
      </c>
      <c r="J37" s="8">
        <f>J29/J23</f>
        <v>0.21276595744680851</v>
      </c>
      <c r="K37" s="8"/>
    </row>
    <row r="38" spans="2:11" x14ac:dyDescent="0.25">
      <c r="B38" s="47" t="s">
        <v>44</v>
      </c>
      <c r="C38" s="4"/>
      <c r="D38" s="8">
        <f>D36+D37</f>
        <v>0.83776595744680848</v>
      </c>
      <c r="E38" s="4"/>
      <c r="F38" s="8">
        <f>F36+F37</f>
        <v>0.85484246017904897</v>
      </c>
      <c r="G38" s="8"/>
      <c r="H38" s="4"/>
      <c r="I38" s="8">
        <f>I36+I37</f>
        <v>0.89582606673642595</v>
      </c>
      <c r="J38" s="8">
        <f>J36+J37</f>
        <v>1.0904255319148937</v>
      </c>
      <c r="K38" s="8"/>
    </row>
    <row r="39" spans="2:11" x14ac:dyDescent="0.25"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7" t="s">
        <v>45</v>
      </c>
      <c r="C40" s="4"/>
      <c r="D40" s="8">
        <f>D25/D19</f>
        <v>2.1860465116279069</v>
      </c>
      <c r="E40" s="4"/>
      <c r="F40" s="8">
        <f t="shared" ref="F40" si="6">F25/F19</f>
        <v>2.2592592592592591</v>
      </c>
      <c r="G40" s="4"/>
      <c r="H40" s="4"/>
      <c r="I40" s="8">
        <f>I23/I19</f>
        <v>2.5578231292517009</v>
      </c>
      <c r="J40" s="8">
        <f>J23/J19</f>
        <v>4.883116883116883</v>
      </c>
      <c r="K40" s="4"/>
    </row>
    <row r="41" spans="2:11" x14ac:dyDescent="0.25">
      <c r="B41" s="1" t="s">
        <v>11</v>
      </c>
      <c r="D41" s="8">
        <f>D33/D11</f>
        <v>0.10608424336973479</v>
      </c>
      <c r="E41" s="4"/>
      <c r="F41" s="8">
        <f>F33/F11</f>
        <v>9.1917591125198095E-2</v>
      </c>
      <c r="G41" s="4"/>
      <c r="H41" s="4"/>
      <c r="I41" s="8">
        <f>I33/I11</f>
        <v>6.8145800316957217E-2</v>
      </c>
      <c r="J41" s="8">
        <f>J33/J11</f>
        <v>-4.2121684867394697E-2</v>
      </c>
      <c r="K41" s="9"/>
    </row>
    <row r="42" spans="2:11" x14ac:dyDescent="0.25">
      <c r="B42" s="1" t="s">
        <v>12</v>
      </c>
      <c r="D42" s="8">
        <f>D33/D19</f>
        <v>0.39534883720930231</v>
      </c>
      <c r="E42" s="4"/>
      <c r="F42" s="8">
        <f>F33/F19</f>
        <v>0.35802469135802467</v>
      </c>
      <c r="G42" s="4"/>
      <c r="H42" s="4"/>
      <c r="I42" s="8">
        <f>I33/I19</f>
        <v>0.29251700680272108</v>
      </c>
      <c r="J42" s="8">
        <f>J33/J19</f>
        <v>-0.35064935064935066</v>
      </c>
      <c r="K42" s="9"/>
    </row>
    <row r="43" spans="2:11" x14ac:dyDescent="0.25">
      <c r="E43" s="4"/>
      <c r="G43" s="4"/>
      <c r="H43" s="4"/>
      <c r="K43" s="9"/>
    </row>
    <row r="44" spans="2:11" x14ac:dyDescent="0.25">
      <c r="B44" s="48" t="s">
        <v>46</v>
      </c>
      <c r="D44" s="8">
        <f>-D24/D23</f>
        <v>0</v>
      </c>
      <c r="E44" s="4"/>
      <c r="F44" s="8">
        <f>-F24/F23</f>
        <v>2.6595744680851064E-2</v>
      </c>
      <c r="G44" s="4"/>
      <c r="H44" s="4"/>
      <c r="I44" s="8">
        <f>-I24/I23</f>
        <v>2.6595744680851064E-2</v>
      </c>
      <c r="J44" s="8">
        <f>-J24/J23</f>
        <v>0</v>
      </c>
      <c r="K44" s="4"/>
    </row>
    <row r="45" spans="2:11" x14ac:dyDescent="0.25">
      <c r="C45" s="4"/>
      <c r="D45" s="4"/>
      <c r="E45" s="4"/>
      <c r="F45" s="4"/>
      <c r="G45" s="4"/>
      <c r="H45" s="4"/>
      <c r="I45" s="4"/>
      <c r="J45" s="4"/>
      <c r="K45" s="4"/>
    </row>
    <row r="47" spans="2:11" x14ac:dyDescent="0.25">
      <c r="B47" s="10" t="s">
        <v>65</v>
      </c>
      <c r="E47" s="11" t="s">
        <v>16</v>
      </c>
      <c r="F47" s="12"/>
      <c r="H47" s="3" t="s">
        <v>47</v>
      </c>
    </row>
    <row r="48" spans="2:11" x14ac:dyDescent="0.25">
      <c r="B48" s="2"/>
      <c r="E48" s="13" t="s">
        <v>74</v>
      </c>
      <c r="F48" s="14">
        <v>4000</v>
      </c>
      <c r="H48" s="1" t="s">
        <v>67</v>
      </c>
      <c r="J48" s="4">
        <f>J3</f>
        <v>4250</v>
      </c>
    </row>
    <row r="49" spans="2:11" x14ac:dyDescent="0.25">
      <c r="B49" s="2"/>
      <c r="E49" s="13" t="s">
        <v>72</v>
      </c>
      <c r="F49" s="14">
        <v>500</v>
      </c>
      <c r="H49" s="1" t="s">
        <v>68</v>
      </c>
      <c r="J49" s="4">
        <f>J4</f>
        <v>500</v>
      </c>
    </row>
    <row r="50" spans="2:11" ht="16.5" thickBot="1" x14ac:dyDescent="0.3">
      <c r="B50" s="2"/>
      <c r="E50" s="13" t="s">
        <v>73</v>
      </c>
      <c r="F50" s="14">
        <v>200</v>
      </c>
      <c r="J50" s="18">
        <f>J48+J49</f>
        <v>4750</v>
      </c>
    </row>
    <row r="51" spans="2:11" ht="16.5" thickTop="1" x14ac:dyDescent="0.25">
      <c r="B51" s="2"/>
      <c r="E51" s="13" t="s">
        <v>76</v>
      </c>
      <c r="F51" s="14">
        <v>90</v>
      </c>
    </row>
    <row r="52" spans="2:11" ht="30.75" x14ac:dyDescent="0.25">
      <c r="B52" s="2"/>
      <c r="E52" s="38" t="s">
        <v>75</v>
      </c>
      <c r="F52" s="14">
        <v>4000</v>
      </c>
    </row>
    <row r="53" spans="2:11" x14ac:dyDescent="0.25">
      <c r="B53" s="2"/>
      <c r="E53" s="15" t="s">
        <v>72</v>
      </c>
      <c r="F53" s="16">
        <v>80</v>
      </c>
    </row>
    <row r="54" spans="2:11" x14ac:dyDescent="0.25">
      <c r="B54" s="2"/>
      <c r="F54" s="4"/>
    </row>
    <row r="56" spans="2:11" x14ac:dyDescent="0.25">
      <c r="B56" s="2" t="s">
        <v>22</v>
      </c>
      <c r="D56" s="44" t="s">
        <v>0</v>
      </c>
      <c r="E56" s="44" t="s">
        <v>69</v>
      </c>
      <c r="F56" s="44" t="s">
        <v>1</v>
      </c>
      <c r="G56" s="51" t="s">
        <v>61</v>
      </c>
      <c r="H56" s="51"/>
      <c r="I56" s="44" t="s">
        <v>2</v>
      </c>
      <c r="J56" s="44" t="s">
        <v>70</v>
      </c>
    </row>
    <row r="57" spans="2:11" x14ac:dyDescent="0.25">
      <c r="B57" s="1" t="s">
        <v>23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25">
      <c r="B58" s="1" t="s">
        <v>24</v>
      </c>
      <c r="C58" s="4"/>
      <c r="D58" s="4">
        <f>D9</f>
        <v>19800</v>
      </c>
      <c r="E58" s="4">
        <f>-(F49+F53)</f>
        <v>-580</v>
      </c>
      <c r="F58" s="4">
        <f>D58+E58</f>
        <v>19220</v>
      </c>
      <c r="G58" s="4">
        <f>-F51</f>
        <v>-90</v>
      </c>
      <c r="H58" s="4"/>
      <c r="I58" s="4">
        <f>F58+G58</f>
        <v>19130</v>
      </c>
      <c r="J58" s="4">
        <f>D58</f>
        <v>19800</v>
      </c>
      <c r="K58" s="4"/>
    </row>
    <row r="59" spans="2:11" x14ac:dyDescent="0.25">
      <c r="B59" s="1" t="s">
        <v>25</v>
      </c>
      <c r="C59" s="4"/>
      <c r="D59" s="4">
        <f>D10</f>
        <v>12250</v>
      </c>
      <c r="E59" s="4"/>
      <c r="F59" s="4">
        <f>D59+E59</f>
        <v>12250</v>
      </c>
      <c r="G59" s="4"/>
      <c r="H59" s="4"/>
      <c r="I59" s="4">
        <f>F59</f>
        <v>12250</v>
      </c>
      <c r="J59" s="4">
        <f t="shared" ref="J59" si="7">H59+I59</f>
        <v>12250</v>
      </c>
      <c r="K59" s="4"/>
    </row>
    <row r="60" spans="2:11" ht="16.5" thickBot="1" x14ac:dyDescent="0.3">
      <c r="C60" s="4"/>
      <c r="D60" s="5">
        <f>D58+D59</f>
        <v>32050</v>
      </c>
      <c r="E60" s="4"/>
      <c r="F60" s="5">
        <f>F58+F59</f>
        <v>31470</v>
      </c>
      <c r="G60" s="6"/>
      <c r="H60" s="4"/>
      <c r="I60" s="5">
        <f t="shared" ref="I60:J60" si="8">I58+I59</f>
        <v>31380</v>
      </c>
      <c r="J60" s="5">
        <f t="shared" si="8"/>
        <v>32050</v>
      </c>
      <c r="K60" s="4"/>
    </row>
    <row r="61" spans="2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5">
      <c r="B62" s="1" t="s">
        <v>26</v>
      </c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5">
      <c r="B63" s="1" t="s">
        <v>27</v>
      </c>
      <c r="C63" s="4"/>
      <c r="D63" s="4">
        <f>D14</f>
        <v>23450</v>
      </c>
      <c r="E63" s="4"/>
      <c r="F63" s="4">
        <f>D63</f>
        <v>23450</v>
      </c>
      <c r="G63" s="4">
        <f>J48+J49</f>
        <v>4750</v>
      </c>
      <c r="I63" s="4">
        <f>SUM(F63:H63)</f>
        <v>28200</v>
      </c>
      <c r="J63" s="4">
        <f>D63+G63</f>
        <v>28200</v>
      </c>
      <c r="K63" s="4"/>
    </row>
    <row r="64" spans="2:11" x14ac:dyDescent="0.25">
      <c r="B64" s="1" t="s">
        <v>28</v>
      </c>
      <c r="C64" s="4"/>
      <c r="D64" s="4">
        <v>0</v>
      </c>
      <c r="F64" s="28">
        <f>-E64</f>
        <v>0</v>
      </c>
      <c r="G64" s="4"/>
      <c r="H64" s="4">
        <f>((J48-F50)+(J49-F50))</f>
        <v>4350</v>
      </c>
      <c r="I64" s="4">
        <f>-(E64+H64)</f>
        <v>-4350</v>
      </c>
      <c r="J64" s="4"/>
      <c r="K64" s="4"/>
    </row>
    <row r="65" spans="2:11" x14ac:dyDescent="0.25">
      <c r="B65" s="1" t="s">
        <v>29</v>
      </c>
      <c r="C65" s="4"/>
      <c r="D65" s="4">
        <f>D63-D64</f>
        <v>23450</v>
      </c>
      <c r="E65" s="4"/>
      <c r="F65" s="4">
        <f>F63+F64</f>
        <v>23450</v>
      </c>
      <c r="G65" s="6"/>
      <c r="H65" s="4"/>
      <c r="I65" s="4">
        <f>I63+I64</f>
        <v>23850</v>
      </c>
      <c r="J65" s="4">
        <f>J63+J64</f>
        <v>28200</v>
      </c>
      <c r="K65" s="4"/>
    </row>
    <row r="66" spans="2:11" x14ac:dyDescent="0.25">
      <c r="C66" s="4"/>
      <c r="D66" s="7">
        <f>D65</f>
        <v>23450</v>
      </c>
      <c r="E66" s="4"/>
      <c r="F66" s="7">
        <f>F65</f>
        <v>23450</v>
      </c>
      <c r="G66" s="6"/>
      <c r="H66" s="4"/>
      <c r="I66" s="7">
        <f>I65</f>
        <v>23850</v>
      </c>
      <c r="J66" s="7">
        <f>J65</f>
        <v>28200</v>
      </c>
      <c r="K66" s="4"/>
    </row>
    <row r="67" spans="2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5">
      <c r="B68" s="1" t="s">
        <v>30</v>
      </c>
      <c r="C68" s="4"/>
      <c r="D68" s="4">
        <f>D60-D65</f>
        <v>8600</v>
      </c>
      <c r="E68" s="4">
        <f>E58</f>
        <v>-580</v>
      </c>
      <c r="F68" s="4">
        <f>D68+E68</f>
        <v>8020</v>
      </c>
      <c r="G68" s="4">
        <f>-G63+G58</f>
        <v>-4840</v>
      </c>
      <c r="H68" s="4">
        <f>H64</f>
        <v>4350</v>
      </c>
      <c r="I68" s="4">
        <f>SUM(F68:H68)</f>
        <v>7530</v>
      </c>
      <c r="J68" s="4">
        <f t="shared" ref="J68" si="9">J60-J65</f>
        <v>3850</v>
      </c>
      <c r="K68" s="4"/>
    </row>
    <row r="69" spans="2:11" ht="16.5" thickBot="1" x14ac:dyDescent="0.3">
      <c r="C69" s="4"/>
      <c r="D69" s="5">
        <f>D68+D65</f>
        <v>32050</v>
      </c>
      <c r="E69" s="4"/>
      <c r="F69" s="5">
        <f>F68+F65</f>
        <v>31470</v>
      </c>
      <c r="G69" s="6"/>
      <c r="H69" s="4"/>
      <c r="I69" s="5">
        <f t="shared" ref="I69:J69" si="10">I68+I65</f>
        <v>31380</v>
      </c>
      <c r="J69" s="5">
        <f t="shared" si="10"/>
        <v>32050</v>
      </c>
      <c r="K69" s="4"/>
    </row>
    <row r="70" spans="2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5">
      <c r="B71" s="46" t="s">
        <v>33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5">
      <c r="B72" s="47" t="s">
        <v>34</v>
      </c>
      <c r="C72" s="4"/>
      <c r="D72" s="4">
        <f>D23</f>
        <v>18800</v>
      </c>
      <c r="F72" s="4">
        <f>D72+E72</f>
        <v>18800</v>
      </c>
      <c r="G72" s="4"/>
      <c r="H72" s="4"/>
      <c r="I72" s="4">
        <f>SUM(F72:H72)</f>
        <v>18800</v>
      </c>
      <c r="J72" s="4">
        <f>D72</f>
        <v>18800</v>
      </c>
      <c r="K72" s="4"/>
    </row>
    <row r="73" spans="2:11" x14ac:dyDescent="0.25">
      <c r="B73" s="47" t="s">
        <v>35</v>
      </c>
      <c r="C73" s="4"/>
      <c r="D73" s="4"/>
      <c r="E73" s="4">
        <f>F49+F53</f>
        <v>580</v>
      </c>
      <c r="F73" s="4">
        <f>-E73</f>
        <v>-580</v>
      </c>
      <c r="G73" s="4">
        <f>F51</f>
        <v>90</v>
      </c>
      <c r="H73" s="4"/>
      <c r="I73" s="4">
        <f>-(E73+G73)</f>
        <v>-670</v>
      </c>
      <c r="J73" s="4"/>
      <c r="K73" s="4"/>
    </row>
    <row r="74" spans="2:11" x14ac:dyDescent="0.25">
      <c r="B74" s="47" t="s">
        <v>36</v>
      </c>
      <c r="C74" s="4"/>
      <c r="D74" s="4">
        <f>D72+D73</f>
        <v>18800</v>
      </c>
      <c r="E74" s="4"/>
      <c r="F74" s="4">
        <f>F72+F73</f>
        <v>18220</v>
      </c>
      <c r="G74" s="4"/>
      <c r="H74" s="4"/>
      <c r="I74" s="4">
        <f t="shared" ref="I74:J74" si="11">I72+I73</f>
        <v>18130</v>
      </c>
      <c r="J74" s="4">
        <f t="shared" si="11"/>
        <v>18800</v>
      </c>
      <c r="K74" s="4"/>
    </row>
    <row r="75" spans="2:11" x14ac:dyDescent="0.25">
      <c r="B75" s="1" t="s">
        <v>3</v>
      </c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25">
      <c r="B76" s="1" t="s">
        <v>37</v>
      </c>
      <c r="C76" s="4"/>
      <c r="D76" s="4">
        <f>D74+D75</f>
        <v>18800</v>
      </c>
      <c r="E76" s="4"/>
      <c r="F76" s="4">
        <f>F74+F75</f>
        <v>18220</v>
      </c>
      <c r="G76" s="4"/>
      <c r="H76" s="4"/>
      <c r="I76" s="4">
        <f t="shared" ref="I76:J76" si="12">I74+I75</f>
        <v>18130</v>
      </c>
      <c r="J76" s="4">
        <f t="shared" si="12"/>
        <v>18800</v>
      </c>
      <c r="K76" s="4"/>
    </row>
    <row r="77" spans="2:11" x14ac:dyDescent="0.25">
      <c r="B77" s="1" t="s">
        <v>38</v>
      </c>
      <c r="C77" s="4"/>
      <c r="D77" s="4">
        <f>D28</f>
        <v>11750</v>
      </c>
      <c r="E77" s="4"/>
      <c r="F77" s="4">
        <f>D77+E77</f>
        <v>11750</v>
      </c>
      <c r="G77" s="4">
        <f>G63</f>
        <v>4750</v>
      </c>
      <c r="H77" s="4">
        <f>-H64</f>
        <v>-4350</v>
      </c>
      <c r="I77" s="4">
        <f>SUM(F77:H77)</f>
        <v>12150</v>
      </c>
      <c r="J77" s="4">
        <f>D77+G77</f>
        <v>16500</v>
      </c>
      <c r="K77" s="4"/>
    </row>
    <row r="78" spans="2:11" x14ac:dyDescent="0.25">
      <c r="B78" s="1" t="s">
        <v>39</v>
      </c>
      <c r="C78" s="4"/>
      <c r="D78" s="4">
        <f>D29</f>
        <v>4000</v>
      </c>
      <c r="E78" s="4"/>
      <c r="F78" s="4">
        <f>D78+E78</f>
        <v>4000</v>
      </c>
      <c r="G78" s="4"/>
      <c r="H78" s="4"/>
      <c r="I78" s="4">
        <f>SUM(F78:H78)</f>
        <v>4000</v>
      </c>
      <c r="J78" s="4">
        <f>D78</f>
        <v>4000</v>
      </c>
      <c r="K78" s="4"/>
    </row>
    <row r="79" spans="2:11" x14ac:dyDescent="0.25">
      <c r="B79" s="1" t="s">
        <v>40</v>
      </c>
      <c r="C79" s="4"/>
      <c r="D79" s="7">
        <f>D76-D77-D78</f>
        <v>3050</v>
      </c>
      <c r="E79" s="4"/>
      <c r="F79" s="7">
        <f>F76-F77-F78</f>
        <v>2470</v>
      </c>
      <c r="G79" s="6"/>
      <c r="H79" s="4"/>
      <c r="I79" s="7">
        <f>I76-I77-I78</f>
        <v>1980</v>
      </c>
      <c r="J79" s="7">
        <f>J72-J77-J78</f>
        <v>-1700</v>
      </c>
      <c r="K79" s="4"/>
    </row>
    <row r="80" spans="2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7" t="s">
        <v>41</v>
      </c>
      <c r="C81" s="4"/>
      <c r="D81" s="4">
        <f>D32</f>
        <v>350</v>
      </c>
      <c r="E81" s="4"/>
      <c r="F81" s="4">
        <f>D81+E81</f>
        <v>350</v>
      </c>
      <c r="G81" s="4"/>
      <c r="H81" s="4"/>
      <c r="I81" s="4">
        <f>SUM(F81:H81)</f>
        <v>350</v>
      </c>
      <c r="J81" s="4">
        <f>D81</f>
        <v>350</v>
      </c>
      <c r="K81" s="4"/>
    </row>
    <row r="82" spans="2:11" ht="16.5" thickBot="1" x14ac:dyDescent="0.3">
      <c r="B82" s="47" t="s">
        <v>42</v>
      </c>
      <c r="C82" s="4"/>
      <c r="D82" s="5">
        <f>D79+D81</f>
        <v>3400</v>
      </c>
      <c r="E82" s="4"/>
      <c r="F82" s="5">
        <f>F79+F81</f>
        <v>2820</v>
      </c>
      <c r="G82" s="6"/>
      <c r="H82" s="4"/>
      <c r="I82" s="5">
        <f>I79+I81</f>
        <v>2330</v>
      </c>
      <c r="J82" s="5">
        <f>J79+J81</f>
        <v>-1350</v>
      </c>
      <c r="K82" s="4"/>
    </row>
    <row r="83" spans="2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7" t="s">
        <v>20</v>
      </c>
      <c r="C85" s="4"/>
      <c r="D85" s="8">
        <f>D77/D76</f>
        <v>0.625</v>
      </c>
      <c r="E85" s="4"/>
      <c r="F85" s="8">
        <f>F77/F76</f>
        <v>0.64489571899012077</v>
      </c>
      <c r="G85" s="9"/>
      <c r="H85" s="4"/>
      <c r="I85" s="8">
        <f>I77/I76</f>
        <v>0.6701599558742416</v>
      </c>
      <c r="J85" s="8">
        <f>J77/J76</f>
        <v>0.87765957446808507</v>
      </c>
      <c r="K85" s="9"/>
    </row>
    <row r="86" spans="2:11" x14ac:dyDescent="0.25">
      <c r="B86" s="47" t="s">
        <v>43</v>
      </c>
      <c r="C86" s="4"/>
      <c r="D86" s="8">
        <f>D78/D72</f>
        <v>0.21276595744680851</v>
      </c>
      <c r="E86" s="4"/>
      <c r="F86" s="8">
        <f>F78/F72</f>
        <v>0.21276595744680851</v>
      </c>
      <c r="G86" s="8"/>
      <c r="H86" s="4"/>
      <c r="I86" s="8">
        <f>I78/I72</f>
        <v>0.21276595744680851</v>
      </c>
      <c r="J86" s="8">
        <f>J78/J72</f>
        <v>0.21276595744680851</v>
      </c>
      <c r="K86" s="8"/>
    </row>
    <row r="87" spans="2:11" x14ac:dyDescent="0.25">
      <c r="B87" s="47" t="s">
        <v>44</v>
      </c>
      <c r="C87" s="4"/>
      <c r="D87" s="8">
        <f>D85+D86</f>
        <v>0.83776595744680848</v>
      </c>
      <c r="E87" s="4"/>
      <c r="F87" s="8">
        <f>F85+F86</f>
        <v>0.85766167643692925</v>
      </c>
      <c r="G87" s="8"/>
      <c r="H87" s="4"/>
      <c r="I87" s="8">
        <f>I85+I86</f>
        <v>0.88292591332105008</v>
      </c>
      <c r="J87" s="8">
        <f>J85+J86</f>
        <v>1.0904255319148937</v>
      </c>
      <c r="K87" s="8"/>
    </row>
    <row r="88" spans="2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7" t="s">
        <v>45</v>
      </c>
      <c r="C89" s="4"/>
      <c r="D89" s="8">
        <f>D74/D68</f>
        <v>2.1860465116279069</v>
      </c>
      <c r="E89" s="4"/>
      <c r="F89" s="8">
        <f t="shared" ref="F89" si="13">F74/F68</f>
        <v>2.2718204488778055</v>
      </c>
      <c r="G89" s="4"/>
      <c r="H89" s="4"/>
      <c r="I89" s="8">
        <f>I72/I68</f>
        <v>2.4966799468791501</v>
      </c>
      <c r="J89" s="8">
        <f>J72/J68</f>
        <v>4.883116883116883</v>
      </c>
      <c r="K89" s="4"/>
    </row>
    <row r="90" spans="2:11" x14ac:dyDescent="0.25">
      <c r="B90" s="1" t="s">
        <v>11</v>
      </c>
      <c r="D90" s="8">
        <f>D82/D60</f>
        <v>0.10608424336973479</v>
      </c>
      <c r="E90" s="4"/>
      <c r="F90" s="8">
        <f>F82/F60</f>
        <v>8.9609151572926593E-2</v>
      </c>
      <c r="G90" s="4"/>
      <c r="H90" s="4"/>
      <c r="I90" s="8">
        <f>I82/I60</f>
        <v>7.4251115360101982E-2</v>
      </c>
      <c r="J90" s="8">
        <f>J82/J60</f>
        <v>-4.2121684867394697E-2</v>
      </c>
      <c r="K90" s="9"/>
    </row>
    <row r="91" spans="2:11" x14ac:dyDescent="0.25">
      <c r="B91" s="1" t="s">
        <v>12</v>
      </c>
      <c r="D91" s="8">
        <f>D82/D68</f>
        <v>0.39534883720930231</v>
      </c>
      <c r="E91" s="4"/>
      <c r="F91" s="8">
        <f>F82/F68</f>
        <v>0.35162094763092272</v>
      </c>
      <c r="G91" s="4"/>
      <c r="H91" s="4"/>
      <c r="I91" s="8">
        <f>I82/I68</f>
        <v>0.30942895086321381</v>
      </c>
      <c r="J91" s="8">
        <f>J82/J68</f>
        <v>-0.35064935064935066</v>
      </c>
      <c r="K91" s="9"/>
    </row>
    <row r="92" spans="2:11" x14ac:dyDescent="0.25">
      <c r="E92" s="4"/>
      <c r="G92" s="4"/>
      <c r="H92" s="4"/>
      <c r="K92" s="9"/>
    </row>
    <row r="93" spans="2:11" x14ac:dyDescent="0.25">
      <c r="B93" s="48" t="s">
        <v>46</v>
      </c>
      <c r="D93" s="8">
        <f>-D73/D72</f>
        <v>0</v>
      </c>
      <c r="E93" s="4"/>
      <c r="F93" s="8">
        <f>-F73/F72</f>
        <v>3.0851063829787233E-2</v>
      </c>
      <c r="G93" s="4"/>
      <c r="H93" s="4"/>
      <c r="I93" s="8">
        <f>-I73/I72</f>
        <v>3.5638297872340428E-2</v>
      </c>
      <c r="J93" s="8">
        <f>-J73/J72</f>
        <v>0</v>
      </c>
      <c r="K93" s="4"/>
    </row>
    <row r="96" spans="2:11" x14ac:dyDescent="0.25">
      <c r="B96" s="10" t="s">
        <v>66</v>
      </c>
      <c r="E96" s="11" t="s">
        <v>16</v>
      </c>
      <c r="F96" s="12"/>
      <c r="H96" s="3" t="s">
        <v>47</v>
      </c>
    </row>
    <row r="97" spans="2:11" x14ac:dyDescent="0.25">
      <c r="B97" s="2"/>
      <c r="E97" s="13" t="s">
        <v>74</v>
      </c>
      <c r="F97" s="14">
        <v>4000</v>
      </c>
      <c r="H97" s="1" t="s">
        <v>67</v>
      </c>
      <c r="J97" s="4">
        <f>J3</f>
        <v>4250</v>
      </c>
    </row>
    <row r="98" spans="2:11" x14ac:dyDescent="0.25">
      <c r="B98" s="2"/>
      <c r="E98" s="13" t="s">
        <v>72</v>
      </c>
      <c r="F98" s="14">
        <v>500</v>
      </c>
      <c r="H98" s="1" t="s">
        <v>68</v>
      </c>
      <c r="J98" s="4">
        <f>J4</f>
        <v>500</v>
      </c>
    </row>
    <row r="99" spans="2:11" ht="16.5" thickBot="1" x14ac:dyDescent="0.3">
      <c r="B99" s="2"/>
      <c r="E99" s="13" t="s">
        <v>73</v>
      </c>
      <c r="F99" s="14">
        <v>200</v>
      </c>
      <c r="J99" s="18">
        <f>J97+J98</f>
        <v>4750</v>
      </c>
    </row>
    <row r="100" spans="2:11" ht="31.5" thickTop="1" x14ac:dyDescent="0.25">
      <c r="B100" s="2"/>
      <c r="E100" s="38" t="s">
        <v>75</v>
      </c>
      <c r="F100" s="14">
        <v>4000</v>
      </c>
    </row>
    <row r="101" spans="2:11" x14ac:dyDescent="0.25">
      <c r="B101" s="2"/>
      <c r="E101" s="13" t="s">
        <v>72</v>
      </c>
      <c r="F101" s="14">
        <v>80</v>
      </c>
    </row>
    <row r="102" spans="2:11" x14ac:dyDescent="0.25">
      <c r="B102" s="2"/>
      <c r="E102" s="13"/>
      <c r="F102" s="14"/>
    </row>
    <row r="103" spans="2:11" ht="111" customHeight="1" x14ac:dyDescent="0.25">
      <c r="B103" s="2"/>
      <c r="E103" s="43" t="s">
        <v>77</v>
      </c>
      <c r="F103" s="16">
        <v>135</v>
      </c>
    </row>
    <row r="105" spans="2:11" x14ac:dyDescent="0.25">
      <c r="B105" s="2" t="s">
        <v>22</v>
      </c>
      <c r="D105" s="44" t="s">
        <v>0</v>
      </c>
      <c r="E105" s="44" t="s">
        <v>69</v>
      </c>
      <c r="F105" s="44" t="s">
        <v>1</v>
      </c>
      <c r="G105" s="51" t="s">
        <v>61</v>
      </c>
      <c r="H105" s="51"/>
      <c r="I105" s="44" t="s">
        <v>2</v>
      </c>
      <c r="J105" s="44" t="s">
        <v>70</v>
      </c>
    </row>
    <row r="106" spans="2:11" x14ac:dyDescent="0.25">
      <c r="B106" s="1" t="s">
        <v>23</v>
      </c>
      <c r="C106" s="4"/>
      <c r="D106" s="4"/>
      <c r="E106" s="19"/>
      <c r="F106" s="4"/>
      <c r="G106" s="4"/>
      <c r="H106" s="4"/>
      <c r="I106" s="4"/>
      <c r="J106" s="4"/>
      <c r="K106" s="4"/>
    </row>
    <row r="107" spans="2:11" x14ac:dyDescent="0.25">
      <c r="B107" s="1" t="s">
        <v>24</v>
      </c>
      <c r="C107" s="4"/>
      <c r="D107" s="4">
        <f>D9</f>
        <v>19800</v>
      </c>
      <c r="E107" s="4">
        <f>-(F98+F101+F103)</f>
        <v>-715</v>
      </c>
      <c r="F107" s="4">
        <f>D107+E107</f>
        <v>19085</v>
      </c>
      <c r="G107" s="4"/>
      <c r="H107" s="4"/>
      <c r="I107" s="4">
        <f>F107</f>
        <v>19085</v>
      </c>
      <c r="J107" s="4">
        <f>D107</f>
        <v>19800</v>
      </c>
      <c r="K107" s="4"/>
    </row>
    <row r="108" spans="2:11" x14ac:dyDescent="0.25">
      <c r="B108" s="1" t="s">
        <v>25</v>
      </c>
      <c r="C108" s="4"/>
      <c r="D108" s="4">
        <f>D10</f>
        <v>12250</v>
      </c>
      <c r="F108" s="4">
        <f>D108+E109</f>
        <v>12250</v>
      </c>
      <c r="G108" s="4"/>
      <c r="H108" s="4"/>
      <c r="I108" s="4">
        <f>F108</f>
        <v>12250</v>
      </c>
      <c r="J108" s="4">
        <f t="shared" ref="J108" si="14">H108+I108</f>
        <v>12250</v>
      </c>
      <c r="K108" s="4"/>
    </row>
    <row r="109" spans="2:11" ht="16.5" thickBot="1" x14ac:dyDescent="0.3">
      <c r="C109" s="4"/>
      <c r="D109" s="5">
        <f>D107+D108</f>
        <v>32050</v>
      </c>
      <c r="E109" s="4"/>
      <c r="F109" s="5">
        <f>F107+F108</f>
        <v>31335</v>
      </c>
      <c r="G109" s="6"/>
      <c r="H109" s="4"/>
      <c r="I109" s="5">
        <f t="shared" ref="I109:J109" si="15">I107+I108</f>
        <v>31335</v>
      </c>
      <c r="J109" s="5">
        <f t="shared" si="15"/>
        <v>32050</v>
      </c>
      <c r="K109" s="4"/>
    </row>
    <row r="110" spans="2:11" x14ac:dyDescent="0.25">
      <c r="C110" s="4"/>
      <c r="D110" s="4"/>
      <c r="E110" s="4"/>
      <c r="F110" s="4"/>
      <c r="G110" s="4"/>
      <c r="H110" s="4"/>
      <c r="I110" s="4"/>
      <c r="J110" s="4"/>
      <c r="K110" s="4"/>
    </row>
    <row r="111" spans="2:11" x14ac:dyDescent="0.25">
      <c r="B111" s="1" t="s">
        <v>26</v>
      </c>
      <c r="C111" s="4"/>
      <c r="D111" s="4"/>
      <c r="E111" s="4"/>
      <c r="F111" s="4"/>
      <c r="G111" s="4"/>
      <c r="H111" s="4"/>
      <c r="I111" s="4"/>
      <c r="J111" s="4"/>
      <c r="K111" s="4"/>
    </row>
    <row r="112" spans="2:11" x14ac:dyDescent="0.25">
      <c r="B112" s="1" t="s">
        <v>27</v>
      </c>
      <c r="C112" s="4"/>
      <c r="D112" s="4">
        <f>D63</f>
        <v>23450</v>
      </c>
      <c r="E112" s="4"/>
      <c r="F112" s="4">
        <f>D112</f>
        <v>23450</v>
      </c>
      <c r="G112" s="4">
        <f>J97+J98</f>
        <v>4750</v>
      </c>
      <c r="I112" s="4">
        <f>SUM(F112:H112)</f>
        <v>28200</v>
      </c>
      <c r="J112" s="4">
        <f>D112+G112</f>
        <v>28200</v>
      </c>
      <c r="K112" s="4"/>
    </row>
    <row r="113" spans="2:13" x14ac:dyDescent="0.25">
      <c r="B113" s="1" t="s">
        <v>28</v>
      </c>
      <c r="C113" s="4"/>
      <c r="D113" s="4">
        <v>0</v>
      </c>
      <c r="F113" s="28">
        <f>-E113</f>
        <v>0</v>
      </c>
      <c r="G113" s="4"/>
      <c r="H113" s="4">
        <f>((J97-F99)+J98)</f>
        <v>4550</v>
      </c>
      <c r="I113" s="4">
        <f>-(E113+H113)</f>
        <v>-4550</v>
      </c>
      <c r="J113" s="4"/>
      <c r="K113" s="4"/>
    </row>
    <row r="114" spans="2:13" x14ac:dyDescent="0.25">
      <c r="B114" s="1" t="s">
        <v>29</v>
      </c>
      <c r="C114" s="4"/>
      <c r="D114" s="4">
        <f>D112-D113</f>
        <v>23450</v>
      </c>
      <c r="E114" s="4"/>
      <c r="F114" s="4">
        <f>F112+F113</f>
        <v>23450</v>
      </c>
      <c r="G114" s="6"/>
      <c r="H114" s="4"/>
      <c r="I114" s="4">
        <f>I112+I113</f>
        <v>23650</v>
      </c>
      <c r="J114" s="4">
        <f>J112+J113</f>
        <v>28200</v>
      </c>
      <c r="K114" s="4"/>
      <c r="M114" s="42"/>
    </row>
    <row r="115" spans="2:13" x14ac:dyDescent="0.25">
      <c r="C115" s="4"/>
      <c r="D115" s="7">
        <f>D114</f>
        <v>23450</v>
      </c>
      <c r="E115" s="4"/>
      <c r="F115" s="7">
        <f>F114</f>
        <v>23450</v>
      </c>
      <c r="G115" s="6"/>
      <c r="H115" s="4"/>
      <c r="I115" s="7">
        <f>I114</f>
        <v>23650</v>
      </c>
      <c r="J115" s="7">
        <f>J114</f>
        <v>28200</v>
      </c>
      <c r="K115" s="4"/>
    </row>
    <row r="116" spans="2:13" x14ac:dyDescent="0.25">
      <c r="C116" s="4"/>
      <c r="D116" s="4"/>
      <c r="E116" s="4"/>
      <c r="F116" s="4"/>
      <c r="G116" s="4"/>
      <c r="H116" s="4"/>
      <c r="I116" s="4"/>
      <c r="J116" s="4"/>
      <c r="K116" s="4"/>
    </row>
    <row r="117" spans="2:13" x14ac:dyDescent="0.25">
      <c r="B117" s="1" t="s">
        <v>30</v>
      </c>
      <c r="C117" s="4"/>
      <c r="D117" s="4">
        <f>D109-D115</f>
        <v>8600</v>
      </c>
      <c r="E117" s="4">
        <f>E107</f>
        <v>-715</v>
      </c>
      <c r="F117" s="4">
        <f>F109-F115</f>
        <v>7885</v>
      </c>
      <c r="G117" s="4">
        <f>-G112+G107</f>
        <v>-4750</v>
      </c>
      <c r="H117" s="4">
        <f>H113</f>
        <v>4550</v>
      </c>
      <c r="I117" s="4">
        <f>SUM(F117:H117)</f>
        <v>7685</v>
      </c>
      <c r="J117" s="4">
        <f t="shared" ref="J117" si="16">J109-J114</f>
        <v>3850</v>
      </c>
      <c r="K117" s="4"/>
    </row>
    <row r="118" spans="2:13" ht="16.5" thickBot="1" x14ac:dyDescent="0.3">
      <c r="C118" s="4"/>
      <c r="D118" s="5">
        <f>D117+D115</f>
        <v>32050</v>
      </c>
      <c r="E118" s="4"/>
      <c r="F118" s="5">
        <f>F117+F115</f>
        <v>31335</v>
      </c>
      <c r="G118" s="6"/>
      <c r="H118" s="4"/>
      <c r="I118" s="5">
        <f t="shared" ref="I118:J118" si="17">I117+I114</f>
        <v>31335</v>
      </c>
      <c r="J118" s="5">
        <f t="shared" si="17"/>
        <v>32050</v>
      </c>
      <c r="K118" s="4"/>
    </row>
    <row r="119" spans="2:13" x14ac:dyDescent="0.25">
      <c r="C119" s="4"/>
      <c r="D119" s="4"/>
      <c r="E119" s="4"/>
      <c r="F119" s="4"/>
      <c r="G119" s="4"/>
      <c r="H119" s="4"/>
      <c r="I119" s="4"/>
      <c r="J119" s="4"/>
      <c r="K119" s="4"/>
    </row>
    <row r="120" spans="2:13" x14ac:dyDescent="0.25">
      <c r="B120" s="46" t="s">
        <v>33</v>
      </c>
      <c r="C120" s="4"/>
      <c r="D120" s="4"/>
      <c r="E120" s="4"/>
      <c r="F120" s="4"/>
      <c r="G120" s="4"/>
      <c r="H120" s="4"/>
      <c r="I120" s="4"/>
      <c r="J120" s="4"/>
      <c r="K120" s="4"/>
    </row>
    <row r="121" spans="2:13" x14ac:dyDescent="0.25">
      <c r="B121" s="47" t="s">
        <v>34</v>
      </c>
      <c r="C121" s="4"/>
      <c r="D121" s="4">
        <f>D23</f>
        <v>18800</v>
      </c>
      <c r="E121" s="4"/>
      <c r="F121" s="4">
        <f>D121+E121</f>
        <v>18800</v>
      </c>
      <c r="G121" s="4"/>
      <c r="H121" s="4"/>
      <c r="I121" s="4">
        <f>SUM(F121:H121)</f>
        <v>18800</v>
      </c>
      <c r="J121" s="4">
        <f>D121</f>
        <v>18800</v>
      </c>
      <c r="K121" s="4"/>
    </row>
    <row r="122" spans="2:13" x14ac:dyDescent="0.25">
      <c r="B122" s="47" t="s">
        <v>35</v>
      </c>
      <c r="C122" s="4"/>
      <c r="D122" s="4"/>
      <c r="E122" s="1">
        <f>F98+F101+F103</f>
        <v>715</v>
      </c>
      <c r="F122" s="4">
        <f>-E122</f>
        <v>-715</v>
      </c>
      <c r="G122" s="4"/>
      <c r="H122" s="4"/>
      <c r="I122" s="4">
        <f>F122</f>
        <v>-715</v>
      </c>
      <c r="J122" s="4"/>
      <c r="K122" s="4"/>
    </row>
    <row r="123" spans="2:13" x14ac:dyDescent="0.25">
      <c r="B123" s="47" t="s">
        <v>36</v>
      </c>
      <c r="C123" s="4"/>
      <c r="D123" s="4">
        <f>D121+D122</f>
        <v>18800</v>
      </c>
      <c r="E123" s="4"/>
      <c r="F123" s="4">
        <f>F121+F122</f>
        <v>18085</v>
      </c>
      <c r="G123" s="4"/>
      <c r="H123" s="4"/>
      <c r="I123" s="4">
        <f t="shared" ref="I123:J123" si="18">I121+I122</f>
        <v>18085</v>
      </c>
      <c r="J123" s="4">
        <f t="shared" si="18"/>
        <v>18800</v>
      </c>
      <c r="K123" s="4"/>
    </row>
    <row r="124" spans="2:13" x14ac:dyDescent="0.25">
      <c r="B124" s="1" t="s">
        <v>3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3" x14ac:dyDescent="0.25">
      <c r="B125" s="1" t="s">
        <v>37</v>
      </c>
      <c r="C125" s="4"/>
      <c r="D125" s="4">
        <f>D123+D124</f>
        <v>18800</v>
      </c>
      <c r="E125" s="4"/>
      <c r="F125" s="4">
        <f>F123+F124</f>
        <v>18085</v>
      </c>
      <c r="G125" s="4"/>
      <c r="H125" s="4"/>
      <c r="I125" s="4">
        <f t="shared" ref="I125:J125" si="19">I123+I124</f>
        <v>18085</v>
      </c>
      <c r="J125" s="4">
        <f t="shared" si="19"/>
        <v>18800</v>
      </c>
      <c r="K125" s="4"/>
    </row>
    <row r="126" spans="2:13" x14ac:dyDescent="0.25">
      <c r="B126" s="1" t="s">
        <v>38</v>
      </c>
      <c r="C126" s="4"/>
      <c r="D126" s="4">
        <f>D28</f>
        <v>11750</v>
      </c>
      <c r="E126" s="4"/>
      <c r="F126" s="4">
        <f>D126+E127</f>
        <v>11750</v>
      </c>
      <c r="G126" s="4">
        <f>G112</f>
        <v>4750</v>
      </c>
      <c r="H126" s="4">
        <f>-H113</f>
        <v>-4550</v>
      </c>
      <c r="I126" s="4">
        <f>SUM(F126:H126)</f>
        <v>11950</v>
      </c>
      <c r="J126" s="4">
        <f>D126+G126</f>
        <v>16500</v>
      </c>
      <c r="K126" s="4"/>
    </row>
    <row r="127" spans="2:13" x14ac:dyDescent="0.25">
      <c r="B127" s="1" t="s">
        <v>39</v>
      </c>
      <c r="C127" s="4"/>
      <c r="D127" s="4">
        <f>D29</f>
        <v>4000</v>
      </c>
      <c r="E127" s="4"/>
      <c r="F127" s="4">
        <f>D127+E128</f>
        <v>4000</v>
      </c>
      <c r="G127" s="4"/>
      <c r="H127" s="4"/>
      <c r="I127" s="4">
        <f>SUM(F127:H127)</f>
        <v>4000</v>
      </c>
      <c r="J127" s="4">
        <f>D127</f>
        <v>4000</v>
      </c>
      <c r="K127" s="4"/>
    </row>
    <row r="128" spans="2:13" x14ac:dyDescent="0.25">
      <c r="B128" s="1" t="s">
        <v>40</v>
      </c>
      <c r="C128" s="4"/>
      <c r="D128" s="7">
        <f>D125-D126-D127</f>
        <v>3050</v>
      </c>
      <c r="E128" s="4"/>
      <c r="F128" s="7">
        <f>F125-F126-F127</f>
        <v>2335</v>
      </c>
      <c r="G128" s="6"/>
      <c r="H128" s="4"/>
      <c r="I128" s="7">
        <f>I125-I126-I127</f>
        <v>2135</v>
      </c>
      <c r="J128" s="7">
        <f>J121-J126-J127</f>
        <v>-1700</v>
      </c>
      <c r="K128" s="4"/>
    </row>
    <row r="129" spans="2:11" x14ac:dyDescent="0.25">
      <c r="C129" s="4"/>
      <c r="D129" s="4"/>
      <c r="E129" s="4"/>
      <c r="F129" s="4"/>
      <c r="G129" s="4"/>
      <c r="H129" s="4"/>
      <c r="I129" s="4"/>
      <c r="J129" s="4"/>
      <c r="K129" s="4"/>
    </row>
    <row r="130" spans="2:11" x14ac:dyDescent="0.25">
      <c r="B130" s="47" t="s">
        <v>41</v>
      </c>
      <c r="C130" s="4"/>
      <c r="D130" s="4">
        <f>D32</f>
        <v>350</v>
      </c>
      <c r="E130" s="4"/>
      <c r="F130" s="4">
        <f>D130+E131</f>
        <v>350</v>
      </c>
      <c r="G130" s="4"/>
      <c r="H130" s="4"/>
      <c r="I130" s="4">
        <f>SUM(F130:H130)</f>
        <v>350</v>
      </c>
      <c r="J130" s="4">
        <f>D130</f>
        <v>350</v>
      </c>
      <c r="K130" s="4"/>
    </row>
    <row r="131" spans="2:11" ht="16.5" thickBot="1" x14ac:dyDescent="0.3">
      <c r="B131" s="47" t="s">
        <v>42</v>
      </c>
      <c r="C131" s="4"/>
      <c r="D131" s="5">
        <f>D128+D130</f>
        <v>3400</v>
      </c>
      <c r="E131" s="4"/>
      <c r="F131" s="5">
        <f>F128+F130</f>
        <v>2685</v>
      </c>
      <c r="G131" s="6"/>
      <c r="H131" s="4"/>
      <c r="I131" s="5">
        <f>I128+I130</f>
        <v>2485</v>
      </c>
      <c r="J131" s="5">
        <f>J128+J130</f>
        <v>-1350</v>
      </c>
      <c r="K131" s="4"/>
    </row>
    <row r="132" spans="2:11" x14ac:dyDescent="0.25">
      <c r="C132" s="4"/>
      <c r="D132" s="4"/>
      <c r="E132" s="4"/>
      <c r="F132" s="4"/>
      <c r="G132" s="4"/>
      <c r="H132" s="4"/>
      <c r="I132" s="4"/>
      <c r="J132" s="4"/>
      <c r="K132" s="4"/>
    </row>
    <row r="133" spans="2:11" x14ac:dyDescent="0.25">
      <c r="C133" s="4"/>
      <c r="D133" s="4"/>
      <c r="E133" s="4"/>
      <c r="F133" s="4"/>
      <c r="G133" s="4"/>
      <c r="H133" s="4"/>
      <c r="I133" s="4"/>
      <c r="J133" s="4"/>
      <c r="K133" s="4"/>
    </row>
    <row r="134" spans="2:11" x14ac:dyDescent="0.25">
      <c r="B134" s="47" t="s">
        <v>20</v>
      </c>
      <c r="C134" s="4"/>
      <c r="D134" s="8">
        <f>D126/D125</f>
        <v>0.625</v>
      </c>
      <c r="E134" s="4"/>
      <c r="F134" s="8">
        <f>F126/F125</f>
        <v>0.6497097041747304</v>
      </c>
      <c r="G134" s="9"/>
      <c r="H134" s="4"/>
      <c r="I134" s="8">
        <f>I126/I125</f>
        <v>0.66076859275642796</v>
      </c>
      <c r="J134" s="8">
        <f>J126/J125</f>
        <v>0.87765957446808507</v>
      </c>
      <c r="K134" s="9"/>
    </row>
    <row r="135" spans="2:11" x14ac:dyDescent="0.25">
      <c r="B135" s="47" t="s">
        <v>43</v>
      </c>
      <c r="C135" s="4"/>
      <c r="D135" s="8">
        <f>D127/D121</f>
        <v>0.21276595744680851</v>
      </c>
      <c r="E135" s="4"/>
      <c r="F135" s="8">
        <f>F127/F121</f>
        <v>0.21276595744680851</v>
      </c>
      <c r="G135" s="8"/>
      <c r="H135" s="4"/>
      <c r="I135" s="8">
        <f>I127/I121</f>
        <v>0.21276595744680851</v>
      </c>
      <c r="J135" s="8">
        <f>J127/J121</f>
        <v>0.21276595744680851</v>
      </c>
      <c r="K135" s="8"/>
    </row>
    <row r="136" spans="2:11" x14ac:dyDescent="0.25">
      <c r="B136" s="47" t="s">
        <v>44</v>
      </c>
      <c r="C136" s="4"/>
      <c r="D136" s="8">
        <f>D134+D135</f>
        <v>0.83776595744680848</v>
      </c>
      <c r="E136" s="4"/>
      <c r="F136" s="8">
        <f>F134+F135</f>
        <v>0.86247566162153888</v>
      </c>
      <c r="G136" s="8"/>
      <c r="H136" s="4"/>
      <c r="I136" s="8">
        <f>I134+I135</f>
        <v>0.87353455020323645</v>
      </c>
      <c r="J136" s="8">
        <f>J134+J135</f>
        <v>1.0904255319148937</v>
      </c>
      <c r="K136" s="8"/>
    </row>
    <row r="137" spans="2:11" x14ac:dyDescent="0.25">
      <c r="C137" s="4"/>
      <c r="D137" s="4"/>
      <c r="E137" s="4"/>
      <c r="F137" s="4"/>
      <c r="G137" s="4"/>
      <c r="H137" s="4"/>
      <c r="I137" s="4"/>
      <c r="J137" s="4"/>
      <c r="K137" s="4"/>
    </row>
    <row r="138" spans="2:11" x14ac:dyDescent="0.25">
      <c r="B138" s="47" t="s">
        <v>45</v>
      </c>
      <c r="C138" s="4"/>
      <c r="D138" s="8">
        <f>D123/D117</f>
        <v>2.1860465116279069</v>
      </c>
      <c r="E138" s="4"/>
      <c r="F138" s="8">
        <f t="shared" ref="F138" si="20">F123/F117</f>
        <v>2.2935954343690552</v>
      </c>
      <c r="G138" s="4"/>
      <c r="H138" s="4"/>
      <c r="I138" s="8">
        <f>I121/I117</f>
        <v>2.4463240078074171</v>
      </c>
      <c r="J138" s="8">
        <f>J121/J117</f>
        <v>4.883116883116883</v>
      </c>
      <c r="K138" s="4"/>
    </row>
    <row r="139" spans="2:11" x14ac:dyDescent="0.25">
      <c r="B139" s="1" t="s">
        <v>11</v>
      </c>
      <c r="D139" s="8">
        <f>D131/D109</f>
        <v>0.10608424336973479</v>
      </c>
      <c r="E139" s="4"/>
      <c r="F139" s="8">
        <f>F131/F109</f>
        <v>8.5686931546194348E-2</v>
      </c>
      <c r="G139" s="4"/>
      <c r="H139" s="4"/>
      <c r="I139" s="8">
        <f>I131/I109</f>
        <v>7.9304292324876333E-2</v>
      </c>
      <c r="J139" s="8">
        <f>J131/J109</f>
        <v>-4.2121684867394697E-2</v>
      </c>
      <c r="K139" s="9"/>
    </row>
    <row r="140" spans="2:11" x14ac:dyDescent="0.25">
      <c r="B140" s="1" t="s">
        <v>12</v>
      </c>
      <c r="D140" s="8">
        <f>D131/D117</f>
        <v>0.39534883720930231</v>
      </c>
      <c r="E140" s="4"/>
      <c r="F140" s="8">
        <f>F131/F117</f>
        <v>0.34051997463538364</v>
      </c>
      <c r="G140" s="4"/>
      <c r="H140" s="4"/>
      <c r="I140" s="8">
        <f>I131/I117</f>
        <v>0.32335718932986335</v>
      </c>
      <c r="J140" s="8">
        <f>J131/J117</f>
        <v>-0.35064935064935066</v>
      </c>
      <c r="K140" s="9"/>
    </row>
    <row r="141" spans="2:11" x14ac:dyDescent="0.25">
      <c r="E141" s="4"/>
      <c r="G141" s="4"/>
      <c r="H141" s="4"/>
      <c r="K141" s="9"/>
    </row>
    <row r="142" spans="2:11" x14ac:dyDescent="0.25">
      <c r="B142" s="48" t="s">
        <v>46</v>
      </c>
      <c r="D142" s="8">
        <f>-D122/D121</f>
        <v>0</v>
      </c>
      <c r="E142" s="4"/>
      <c r="F142" s="8">
        <f>-F122/F121</f>
        <v>3.8031914893617021E-2</v>
      </c>
      <c r="G142" s="4"/>
      <c r="H142" s="4"/>
      <c r="I142" s="8">
        <f>-I122/I121</f>
        <v>3.8031914893617021E-2</v>
      </c>
      <c r="J142" s="8">
        <f>-J122/J121</f>
        <v>0</v>
      </c>
      <c r="K142" s="4"/>
    </row>
    <row r="143" spans="2:11" x14ac:dyDescent="0.25">
      <c r="E143" s="4"/>
    </row>
  </sheetData>
  <mergeCells count="3">
    <mergeCell ref="G7:H7"/>
    <mergeCell ref="G56:H56"/>
    <mergeCell ref="G105:H105"/>
  </mergeCells>
  <pageMargins left="0.25" right="0.25" top="0.75" bottom="0.75" header="0.3" footer="0.3"/>
  <pageSetup scale="62" fitToHeight="0" orientation="portrait" r:id="rId1"/>
  <rowBreaks count="2" manualBreakCount="2">
    <brk id="44" max="10" man="1"/>
    <brk id="94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3" zoomScaleNormal="100" workbookViewId="0">
      <selection sqref="A1:A1048576"/>
    </sheetView>
  </sheetViews>
  <sheetFormatPr baseColWidth="10" defaultColWidth="9.140625" defaultRowHeight="15" x14ac:dyDescent="0.25"/>
  <cols>
    <col min="1" max="1" width="4.85546875" customWidth="1"/>
  </cols>
  <sheetData>
    <row r="2" spans="2:8" ht="15.75" x14ac:dyDescent="0.25">
      <c r="B2" s="2" t="s">
        <v>79</v>
      </c>
      <c r="C2" s="50"/>
      <c r="D2" s="50"/>
      <c r="E2" s="50"/>
      <c r="F2" s="50"/>
      <c r="G2" s="50"/>
      <c r="H2" s="50"/>
    </row>
    <row r="3" spans="2:8" ht="15.75" x14ac:dyDescent="0.25">
      <c r="B3" s="50"/>
      <c r="C3" s="50"/>
      <c r="D3" s="50"/>
      <c r="E3" s="50"/>
      <c r="F3" s="50"/>
      <c r="G3" s="50"/>
      <c r="H3" s="50"/>
    </row>
    <row r="4" spans="2:8" ht="15.75" x14ac:dyDescent="0.25">
      <c r="B4" s="3" t="s">
        <v>78</v>
      </c>
      <c r="C4" s="1"/>
      <c r="D4" s="1"/>
      <c r="E4" s="50"/>
      <c r="F4" s="50"/>
      <c r="G4" s="50"/>
      <c r="H4" s="50"/>
    </row>
    <row r="5" spans="2:8" ht="15.75" x14ac:dyDescent="0.25">
      <c r="B5" s="3"/>
      <c r="C5" s="1"/>
      <c r="D5" s="1"/>
      <c r="E5" s="50"/>
      <c r="F5" s="50"/>
      <c r="G5" s="50"/>
      <c r="H5" s="50"/>
    </row>
    <row r="6" spans="2:8" ht="15.75" x14ac:dyDescent="0.25">
      <c r="B6" s="1" t="s">
        <v>48</v>
      </c>
      <c r="C6" s="1"/>
      <c r="D6" s="4">
        <f>'Cuota Parte'!J4</f>
        <v>200</v>
      </c>
      <c r="E6" s="50"/>
      <c r="F6" s="50"/>
      <c r="G6" s="50"/>
      <c r="H6" s="50"/>
    </row>
    <row r="7" spans="2:8" ht="15.75" x14ac:dyDescent="0.25">
      <c r="B7" s="1" t="s">
        <v>49</v>
      </c>
      <c r="C7" s="1"/>
      <c r="D7" s="4">
        <f>'Cuota Parte'!J5</f>
        <v>30</v>
      </c>
      <c r="E7" s="50"/>
      <c r="F7" s="50"/>
      <c r="G7" s="50"/>
      <c r="H7" s="50"/>
    </row>
    <row r="8" spans="2:8" ht="15.75" x14ac:dyDescent="0.25">
      <c r="B8" s="1" t="s">
        <v>50</v>
      </c>
      <c r="C8" s="1"/>
      <c r="D8" s="4">
        <f>'Cuota Parte'!J6</f>
        <v>50</v>
      </c>
      <c r="E8" s="50"/>
      <c r="F8" s="50"/>
      <c r="G8" s="50"/>
      <c r="H8" s="50"/>
    </row>
    <row r="9" spans="2:8" ht="15.75" x14ac:dyDescent="0.25">
      <c r="B9" s="1" t="s">
        <v>51</v>
      </c>
      <c r="C9" s="1"/>
      <c r="D9" s="4">
        <f>'Cuota Parte'!J7</f>
        <v>110</v>
      </c>
      <c r="E9" s="50"/>
      <c r="F9" s="50"/>
      <c r="G9" s="50"/>
      <c r="H9" s="50"/>
    </row>
    <row r="10" spans="2:8" ht="15.75" x14ac:dyDescent="0.25">
      <c r="B10" s="1" t="s">
        <v>52</v>
      </c>
      <c r="C10" s="1"/>
      <c r="D10" s="4">
        <f>'Cuota Parte'!J8</f>
        <v>130</v>
      </c>
      <c r="E10" s="50"/>
      <c r="F10" s="50"/>
      <c r="G10" s="50"/>
      <c r="H10" s="50"/>
    </row>
    <row r="11" spans="2:8" ht="15.75" x14ac:dyDescent="0.25">
      <c r="B11" s="1" t="s">
        <v>53</v>
      </c>
      <c r="C11" s="1"/>
      <c r="D11" s="4">
        <f>'Cuota Parte'!J9</f>
        <v>170</v>
      </c>
      <c r="E11" s="50"/>
      <c r="F11" s="50"/>
      <c r="G11" s="50"/>
      <c r="H11" s="50"/>
    </row>
    <row r="12" spans="2:8" ht="15.75" x14ac:dyDescent="0.25">
      <c r="B12" s="1" t="s">
        <v>54</v>
      </c>
      <c r="C12" s="1"/>
      <c r="D12" s="4">
        <f>'Cuota Parte'!J10</f>
        <v>150</v>
      </c>
      <c r="E12" s="50"/>
      <c r="F12" s="50"/>
      <c r="G12" s="50"/>
      <c r="H12" s="50"/>
    </row>
    <row r="13" spans="2:8" ht="15.75" x14ac:dyDescent="0.25">
      <c r="B13" s="1" t="s">
        <v>55</v>
      </c>
      <c r="C13" s="1"/>
      <c r="D13" s="4">
        <f>'Cuota Parte'!J11</f>
        <v>60</v>
      </c>
      <c r="E13" s="50"/>
      <c r="F13" s="50"/>
      <c r="G13" s="50"/>
      <c r="H13" s="50"/>
    </row>
    <row r="14" spans="2:8" ht="15.75" x14ac:dyDescent="0.25">
      <c r="B14" s="1" t="s">
        <v>56</v>
      </c>
      <c r="C14" s="1"/>
      <c r="D14" s="4">
        <f>'Cuota Parte'!J12</f>
        <v>190</v>
      </c>
      <c r="E14" s="50"/>
      <c r="F14" s="50"/>
      <c r="G14" s="50"/>
      <c r="H14" s="50"/>
    </row>
    <row r="15" spans="2:8" ht="15.75" x14ac:dyDescent="0.25">
      <c r="B15" s="1" t="s">
        <v>57</v>
      </c>
      <c r="C15" s="1"/>
      <c r="D15" s="4">
        <f>'Cuota Parte'!J13</f>
        <v>200</v>
      </c>
      <c r="E15" s="50"/>
      <c r="F15" s="50"/>
      <c r="G15" s="50"/>
      <c r="H15" s="50"/>
    </row>
    <row r="16" spans="2:8" ht="15.75" x14ac:dyDescent="0.25">
      <c r="B16" s="1" t="s">
        <v>58</v>
      </c>
      <c r="C16" s="1"/>
      <c r="D16" s="4">
        <f>'Cuota Parte'!J14</f>
        <v>90</v>
      </c>
      <c r="E16" s="50"/>
      <c r="F16" s="50"/>
      <c r="G16" s="50"/>
      <c r="H16" s="50"/>
    </row>
    <row r="17" spans="1:8" ht="16.5" thickBot="1" x14ac:dyDescent="0.3">
      <c r="B17" s="1"/>
      <c r="C17" s="1"/>
      <c r="D17" s="21">
        <f>'Cuota Parte'!J15</f>
        <v>1380</v>
      </c>
      <c r="E17" s="50"/>
      <c r="F17" s="50"/>
      <c r="G17" s="50"/>
      <c r="H17" s="50"/>
    </row>
    <row r="18" spans="1:8" ht="16.5" thickTop="1" x14ac:dyDescent="0.25">
      <c r="B18" s="50"/>
      <c r="C18" s="50"/>
      <c r="D18" s="50"/>
      <c r="E18" s="50"/>
      <c r="F18" s="50"/>
      <c r="G18" s="50"/>
      <c r="H18" s="50"/>
    </row>
    <row r="19" spans="1:8" ht="15.75" x14ac:dyDescent="0.25">
      <c r="B19" s="50"/>
      <c r="C19" s="50"/>
      <c r="D19" s="50"/>
      <c r="E19" s="50"/>
      <c r="F19" s="50"/>
      <c r="G19" s="50"/>
      <c r="H19" s="50"/>
    </row>
    <row r="20" spans="1:8" ht="15.75" x14ac:dyDescent="0.25">
      <c r="B20" s="3" t="s">
        <v>80</v>
      </c>
      <c r="C20" s="50"/>
      <c r="D20" s="50"/>
      <c r="E20" s="50"/>
      <c r="F20" s="50"/>
      <c r="G20" s="50"/>
      <c r="H20" s="50"/>
    </row>
    <row r="21" spans="1:8" ht="15.75" x14ac:dyDescent="0.25">
      <c r="B21" s="50"/>
      <c r="C21" s="50"/>
      <c r="D21" s="50"/>
      <c r="E21" s="50"/>
      <c r="F21" s="50"/>
      <c r="G21" s="50"/>
      <c r="H21" s="50"/>
    </row>
    <row r="22" spans="1:8" ht="15.75" x14ac:dyDescent="0.25">
      <c r="B22" s="49" t="s">
        <v>67</v>
      </c>
      <c r="C22" s="50"/>
      <c r="D22" s="50"/>
      <c r="E22" s="50"/>
      <c r="F22" s="50"/>
      <c r="G22" s="50"/>
      <c r="H22" s="50"/>
    </row>
    <row r="23" spans="1:8" ht="15.75" x14ac:dyDescent="0.25">
      <c r="A23" s="1"/>
      <c r="B23" s="1" t="s">
        <v>81</v>
      </c>
      <c r="C23" s="1"/>
      <c r="D23" s="1"/>
      <c r="E23" s="1"/>
      <c r="F23" s="1"/>
      <c r="G23" s="1"/>
      <c r="H23" s="1"/>
    </row>
    <row r="24" spans="1:8" ht="15.75" x14ac:dyDescent="0.25">
      <c r="A24" s="1"/>
      <c r="B24" s="1" t="s">
        <v>82</v>
      </c>
      <c r="C24" s="1"/>
      <c r="D24" s="1"/>
      <c r="E24" s="1"/>
      <c r="F24" s="1"/>
      <c r="G24" s="1"/>
      <c r="H24" s="1"/>
    </row>
    <row r="25" spans="1:8" ht="15.75" x14ac:dyDescent="0.25">
      <c r="A25" s="1"/>
      <c r="B25" s="1" t="s">
        <v>83</v>
      </c>
      <c r="C25" s="1"/>
      <c r="D25" s="1"/>
      <c r="E25" s="1"/>
      <c r="F25" s="1"/>
      <c r="G25" s="1"/>
      <c r="H25" s="1"/>
    </row>
    <row r="26" spans="1:8" ht="15.75" x14ac:dyDescent="0.25">
      <c r="A26" s="1"/>
      <c r="B26" s="1" t="s">
        <v>84</v>
      </c>
      <c r="C26" s="1"/>
      <c r="D26" s="1"/>
      <c r="E26" s="1"/>
      <c r="F26" s="1"/>
      <c r="G26" s="1">
        <v>4250</v>
      </c>
      <c r="H26" s="1"/>
    </row>
    <row r="27" spans="1:8" ht="15.75" x14ac:dyDescent="0.25">
      <c r="B27" s="50"/>
      <c r="C27" s="50"/>
      <c r="D27" s="50"/>
      <c r="E27" s="50"/>
      <c r="F27" s="50"/>
      <c r="G27" s="50"/>
      <c r="H27" s="50"/>
    </row>
    <row r="28" spans="1:8" ht="15.75" x14ac:dyDescent="0.25">
      <c r="B28" s="50"/>
      <c r="C28" s="50"/>
      <c r="D28" s="50"/>
      <c r="E28" s="50"/>
      <c r="F28" s="50"/>
      <c r="G28" s="50"/>
      <c r="H28" s="50"/>
    </row>
    <row r="29" spans="1:8" ht="15.75" x14ac:dyDescent="0.25">
      <c r="B29" s="49" t="s">
        <v>68</v>
      </c>
      <c r="C29" s="50"/>
      <c r="D29" s="50"/>
      <c r="E29" s="50"/>
      <c r="F29" s="50"/>
      <c r="G29" s="50"/>
      <c r="H29" s="50"/>
    </row>
    <row r="30" spans="1:8" ht="15.75" x14ac:dyDescent="0.25">
      <c r="B30" s="1" t="s">
        <v>85</v>
      </c>
      <c r="C30" s="1"/>
      <c r="D30" s="1"/>
      <c r="E30" s="1"/>
      <c r="F30" s="1"/>
      <c r="G30" s="1"/>
      <c r="H30" s="50"/>
    </row>
    <row r="31" spans="1:8" ht="15.75" x14ac:dyDescent="0.25">
      <c r="B31" s="1" t="s">
        <v>86</v>
      </c>
      <c r="C31" s="1"/>
      <c r="D31" s="1"/>
      <c r="E31" s="1"/>
      <c r="F31" s="1"/>
      <c r="G31" s="1"/>
      <c r="H31" s="50"/>
    </row>
    <row r="32" spans="1:8" ht="15.75" x14ac:dyDescent="0.25">
      <c r="B32" s="1" t="s">
        <v>83</v>
      </c>
      <c r="C32" s="1"/>
      <c r="D32" s="1"/>
      <c r="E32" s="1"/>
      <c r="F32" s="1"/>
      <c r="G32" s="1"/>
      <c r="H32" s="50"/>
    </row>
    <row r="33" spans="2:8" ht="15.75" x14ac:dyDescent="0.25">
      <c r="B33" s="1" t="s">
        <v>84</v>
      </c>
      <c r="C33" s="1"/>
      <c r="D33" s="1"/>
      <c r="E33" s="1"/>
      <c r="F33" s="1"/>
      <c r="G33" s="1">
        <v>500</v>
      </c>
      <c r="H33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opLeftCell="A16" zoomScaleNormal="100" workbookViewId="0">
      <selection activeCell="B22" sqref="B22"/>
    </sheetView>
  </sheetViews>
  <sheetFormatPr baseColWidth="10" defaultColWidth="9.140625" defaultRowHeight="15" x14ac:dyDescent="0.2"/>
  <cols>
    <col min="1" max="1" width="9.140625" style="1"/>
    <col min="2" max="2" width="27.5703125" style="1" customWidth="1"/>
    <col min="3" max="3" width="9.140625" style="1"/>
    <col min="4" max="4" width="17.5703125" style="1" customWidth="1"/>
    <col min="5" max="5" width="14.42578125" style="1" customWidth="1"/>
    <col min="6" max="6" width="9.28515625" style="1" hidden="1" customWidth="1"/>
    <col min="7" max="7" width="9.28515625" style="1" bestFit="1" customWidth="1"/>
    <col min="8" max="8" width="11.42578125" style="1" customWidth="1"/>
    <col min="9" max="9" width="9.140625" style="1"/>
    <col min="10" max="11" width="11.5703125" style="1" customWidth="1"/>
    <col min="12" max="12" width="14.42578125" style="1" customWidth="1"/>
    <col min="13" max="16384" width="9.140625" style="1"/>
  </cols>
  <sheetData>
    <row r="1" spans="2:15" ht="15.75" thickBot="1" x14ac:dyDescent="0.25">
      <c r="B1" s="33"/>
      <c r="C1" s="33"/>
      <c r="D1" s="33"/>
    </row>
    <row r="2" spans="2:15" ht="16.5" thickBot="1" x14ac:dyDescent="0.3">
      <c r="B2" s="34" t="s">
        <v>10</v>
      </c>
      <c r="C2" s="35"/>
      <c r="D2" s="36"/>
      <c r="E2" s="34">
        <v>1</v>
      </c>
      <c r="F2" s="37">
        <v>0</v>
      </c>
      <c r="G2" s="36">
        <v>1</v>
      </c>
    </row>
    <row r="4" spans="2:15" ht="15.75" x14ac:dyDescent="0.25">
      <c r="B4" s="1" t="str">
        <f>'Cuota Parte'!B17</f>
        <v>Balance</v>
      </c>
      <c r="D4" s="25" t="s">
        <v>87</v>
      </c>
      <c r="E4" s="25" t="str">
        <f>'Cuota Parte'!E17</f>
        <v>Cuota Parte</v>
      </c>
      <c r="F4" s="25" t="s">
        <v>4</v>
      </c>
      <c r="G4" s="25" t="s">
        <v>5</v>
      </c>
      <c r="H4" s="25" t="s">
        <v>6</v>
      </c>
      <c r="J4" s="25" t="str">
        <f>E4</f>
        <v>Cuota Parte</v>
      </c>
      <c r="K4" s="25" t="str">
        <f>G4</f>
        <v>Cat XL</v>
      </c>
      <c r="L4" s="25" t="s">
        <v>88</v>
      </c>
    </row>
    <row r="5" spans="2:15" x14ac:dyDescent="0.2">
      <c r="B5" s="1" t="str">
        <f>'Cuota Parte'!B18</f>
        <v>ACTIVOS</v>
      </c>
    </row>
    <row r="6" spans="2:15" x14ac:dyDescent="0.2">
      <c r="B6" s="1" t="str">
        <f>'Cuota Parte'!B19</f>
        <v>Efectivo y títulos</v>
      </c>
      <c r="D6" s="4">
        <f>'Cuota Parte'!D19</f>
        <v>19800</v>
      </c>
      <c r="E6" s="4">
        <f>IF($E$2=1,'Cuota Parte'!E19,IF($E$2=2,'Cuota Parte'!E73,IF($E$2=3,'Cuota Parte'!E127,0)))</f>
        <v>-1292</v>
      </c>
      <c r="F6" s="4">
        <f>IF($F$2=1,#REF!,IF($F$2=2,#REF!,IF($F$2=3,#REF!,0)))</f>
        <v>0</v>
      </c>
      <c r="G6" s="4">
        <f>IF($G$2=1,'Exceso Pérdida'!E107,IF($G$2=2,'Exceso Pérdida'!E58,IF($G$2=3,'Exceso Pérdida'!E9,0)))</f>
        <v>-715</v>
      </c>
      <c r="H6" s="28">
        <f>SUM(D6:G6)</f>
        <v>17793</v>
      </c>
      <c r="K6" s="28">
        <f>IF($G$2=1,'Exceso Pérdida'!G107+'Exceso Pérdida'!H107,IF($G$2=2,'Exceso Pérdida'!G58+'Exceso Pérdida'!H58,IF($G$2=3,'Exceso Pérdida'!G9+'Exceso Pérdida'!H9,0)))</f>
        <v>0</v>
      </c>
      <c r="L6" s="28">
        <f>SUM(H6:K6)</f>
        <v>17793</v>
      </c>
    </row>
    <row r="7" spans="2:15" x14ac:dyDescent="0.2">
      <c r="B7" s="1" t="str">
        <f>'Cuota Parte'!B20</f>
        <v>Otros activos</v>
      </c>
      <c r="D7" s="4">
        <f>'Cuota Parte'!D20</f>
        <v>12250</v>
      </c>
      <c r="H7" s="28">
        <f>SUM(D7:G7)</f>
        <v>12250</v>
      </c>
      <c r="L7" s="28">
        <f>SUM(H7:K7)</f>
        <v>12250</v>
      </c>
    </row>
    <row r="8" spans="2:15" ht="15.75" thickBot="1" x14ac:dyDescent="0.25">
      <c r="D8" s="5">
        <f>'Cuota Parte'!D21</f>
        <v>32050</v>
      </c>
      <c r="E8" s="29"/>
      <c r="F8" s="29"/>
      <c r="G8" s="29"/>
      <c r="H8" s="5">
        <f>H6+H7</f>
        <v>30043</v>
      </c>
      <c r="L8" s="5">
        <f>L6+L7</f>
        <v>30043</v>
      </c>
    </row>
    <row r="9" spans="2:15" x14ac:dyDescent="0.2">
      <c r="D9" s="4"/>
      <c r="E9" s="4"/>
    </row>
    <row r="10" spans="2:15" x14ac:dyDescent="0.2">
      <c r="B10" s="1" t="str">
        <f>'Cuota Parte'!B23</f>
        <v>PASIVOS</v>
      </c>
      <c r="D10" s="4"/>
      <c r="E10" s="4"/>
    </row>
    <row r="11" spans="2:15" x14ac:dyDescent="0.2">
      <c r="B11" s="1" t="str">
        <f>'Cuota Parte'!B24</f>
        <v>Reserva   BRUTA</v>
      </c>
      <c r="D11" s="4">
        <f>'Cuota Parte'!D24</f>
        <v>23450</v>
      </c>
      <c r="E11" s="4">
        <f>-IF($E$2=1,'Cuota Parte'!E25,IF($E$2=2,'Cuota Parte'!E79,IF($E$2=3,'Cuota Parte'!E133,0)))</f>
        <v>-1216</v>
      </c>
      <c r="F11" s="4">
        <f>IF($F$2=1,#REF!,IF($F$2=2,#REF!,IF($F$2=3,#REF!,0)))</f>
        <v>0</v>
      </c>
      <c r="G11" s="4">
        <f>IF($G$2=1,'Exceso Pérdida'!E113,IF($G$2=2,'Exceso Pérdida'!E63,IF($G$2=3,'Exceso Pérdida'!E14,0)))</f>
        <v>0</v>
      </c>
      <c r="H11" s="28">
        <f t="shared" ref="H11:H12" si="0">SUM(D11:G11)</f>
        <v>22234</v>
      </c>
      <c r="J11" s="28">
        <f>IF($E$2=1,'Cuota Parte'!G24-'Cuota Parte'!H25,IF($E$2=2,'Cuota Parte'!G78-'Cuota Parte'!H79,IF($E$2=3,'Cuota Parte'!G132-'Cuota Parte'!H133,0)))</f>
        <v>5</v>
      </c>
      <c r="K11" s="28">
        <f>IF($G$2=1,'Exceso Pérdida'!G112-'Exceso Pérdida'!H113,IF($G$2=2,'Exceso Pérdida'!G63-'Exceso Pérdida'!H64,IF($G$2=3,'Exceso Pérdida'!G14-'Exceso Pérdida'!H15,0)))</f>
        <v>200</v>
      </c>
      <c r="L11" s="28">
        <f>SUM(H11:K11)</f>
        <v>22439</v>
      </c>
    </row>
    <row r="12" spans="2:15" x14ac:dyDescent="0.2">
      <c r="D12" s="4"/>
      <c r="H12" s="28">
        <f t="shared" si="0"/>
        <v>0</v>
      </c>
    </row>
    <row r="13" spans="2:15" x14ac:dyDescent="0.2">
      <c r="D13" s="7">
        <f>'Cuota Parte'!D27</f>
        <v>23450</v>
      </c>
      <c r="E13" s="30"/>
      <c r="F13" s="30"/>
      <c r="G13" s="30"/>
      <c r="H13" s="7">
        <f>H11+H12</f>
        <v>22234</v>
      </c>
      <c r="L13" s="7">
        <f>L11+L12</f>
        <v>22439</v>
      </c>
    </row>
    <row r="14" spans="2:15" x14ac:dyDescent="0.2">
      <c r="D14" s="4"/>
      <c r="E14" s="4"/>
    </row>
    <row r="15" spans="2:15" x14ac:dyDescent="0.2">
      <c r="B15" s="1" t="str">
        <f>'Cuota Parte'!B29</f>
        <v>PATRIMONIO</v>
      </c>
      <c r="D15" s="4">
        <f>'Cuota Parte'!D29</f>
        <v>8600</v>
      </c>
      <c r="E15" s="4">
        <f>IF($E$2=1,'Cuota Parte'!E29,IF($E$2=2,'Cuota Parte'!E83,IF($E$2=3,'Cuota Parte'!E137,0)))</f>
        <v>-76</v>
      </c>
      <c r="F15" s="4">
        <f>IF($F$2=1,#REF!,IF($F$2=2,#REF!,IF($F$2=3,#REF!,0)))</f>
        <v>0</v>
      </c>
      <c r="G15" s="4">
        <f>IF($G$2=1,'Exceso Pérdida'!E117,IF($G$2=2,'Exceso Pérdida'!E68,IF($G$2=3,'Exceso Pérdida'!E19,0)))</f>
        <v>-715</v>
      </c>
      <c r="H15" s="28">
        <f>SUM(D15:G15)</f>
        <v>7809</v>
      </c>
      <c r="J15" s="28">
        <f>IF($E$2=1,'Cuota Parte'!G29+'Cuota Parte'!H29,IF($E$2=2,'Cuota Parte'!G83+'Cuota Parte'!H83,IF($E$2=3,'Cuota Parte'!G137+'Cuota Parte'!H137,0)))</f>
        <v>-5</v>
      </c>
      <c r="K15" s="28">
        <f>IF($G$2=1,'Exceso Pérdida'!G117+'Exceso Pérdida'!H117,IF($G$2=2,'Exceso Pérdida'!G68+'Exceso Pérdida'!H68,IF($G$2=3,'Exceso Pérdida'!G19+'Exceso Pérdida'!H19,0)))</f>
        <v>-200</v>
      </c>
      <c r="L15" s="28">
        <f>SUM(H15:K15)</f>
        <v>7604</v>
      </c>
      <c r="O15" s="28"/>
    </row>
    <row r="16" spans="2:15" ht="15.75" thickBot="1" x14ac:dyDescent="0.25">
      <c r="D16" s="5">
        <f>'Cuota Parte'!D30</f>
        <v>32050</v>
      </c>
      <c r="E16" s="29"/>
      <c r="F16" s="29"/>
      <c r="G16" s="29"/>
      <c r="H16" s="31">
        <f>H13+H15</f>
        <v>30043</v>
      </c>
      <c r="L16" s="31">
        <f>L13+L15</f>
        <v>30043</v>
      </c>
    </row>
    <row r="17" spans="2:12" x14ac:dyDescent="0.2">
      <c r="D17" s="4"/>
      <c r="E17" s="4"/>
    </row>
    <row r="18" spans="2:12" x14ac:dyDescent="0.2">
      <c r="B18" s="1" t="str">
        <f>'Cuota Parte'!B32</f>
        <v>Estado de Resultados</v>
      </c>
      <c r="D18" s="4"/>
    </row>
    <row r="19" spans="2:12" x14ac:dyDescent="0.2">
      <c r="B19" s="1" t="str">
        <f>'Cuota Parte'!B33</f>
        <v>Primas Brutas</v>
      </c>
      <c r="D19" s="4">
        <f>'Cuota Parte'!D33</f>
        <v>18800</v>
      </c>
      <c r="H19" s="28">
        <f t="shared" ref="H19:H28" si="1">SUM(D19:G19)</f>
        <v>18800</v>
      </c>
      <c r="L19" s="28">
        <f t="shared" ref="L19:L28" si="2">SUM(H19:K19)</f>
        <v>18800</v>
      </c>
    </row>
    <row r="20" spans="2:12" x14ac:dyDescent="0.2">
      <c r="B20" s="1" t="str">
        <f>'Cuota Parte'!B34</f>
        <v>Primas Cedidas</v>
      </c>
      <c r="D20" s="4"/>
      <c r="E20" s="4">
        <f>-IF($E$2=1,'Cuota Parte'!E34,IF($E$2=2,'Cuota Parte'!E88,IF($E$2=3,'Cuota Parte'!E142,0)))</f>
        <v>-1520</v>
      </c>
      <c r="F20" s="4">
        <f>IF($F$2=1,#REF!,IF($F$2=2,#REF!,IF($F$2=3,#REF!,0)))</f>
        <v>0</v>
      </c>
      <c r="G20" s="4">
        <f>-IF($G$2=1,'Exceso Pérdida'!E122,IF($G$2=2,'Exceso Pérdida'!E73,IF($G$2=3,'Exceso Pérdida'!E24,0)))</f>
        <v>-715</v>
      </c>
      <c r="H20" s="28">
        <f t="shared" si="1"/>
        <v>-2235</v>
      </c>
      <c r="K20" s="28">
        <f>-IF($G$2=1,'Exceso Pérdida'!G122+'Exceso Pérdida'!H122,IF($G$2=2,'Exceso Pérdida'!G73+'Exceso Pérdida'!H73,IF($G$2=3,'Exceso Pérdida'!G24+'Exceso Pérdida'!H24,0)))</f>
        <v>0</v>
      </c>
      <c r="L20" s="28">
        <f t="shared" si="2"/>
        <v>-2235</v>
      </c>
    </row>
    <row r="21" spans="2:12" x14ac:dyDescent="0.2">
      <c r="B21" s="1" t="str">
        <f>'Cuota Parte'!B35</f>
        <v>Primas Netas</v>
      </c>
      <c r="D21" s="7">
        <f>'Cuota Parte'!D35</f>
        <v>18800</v>
      </c>
      <c r="E21" s="30"/>
      <c r="F21" s="30"/>
      <c r="G21" s="30"/>
      <c r="H21" s="7">
        <f>H19+H20</f>
        <v>16565</v>
      </c>
      <c r="L21" s="7">
        <f>L19+L20</f>
        <v>16565</v>
      </c>
    </row>
    <row r="22" spans="2:12" x14ac:dyDescent="0.2">
      <c r="B22" s="1" t="str">
        <f>'Cuota Parte'!B36</f>
        <v>Change  in UEP</v>
      </c>
      <c r="D22" s="4"/>
      <c r="H22" s="28">
        <f t="shared" si="1"/>
        <v>0</v>
      </c>
    </row>
    <row r="23" spans="2:12" x14ac:dyDescent="0.2">
      <c r="B23" s="1" t="str">
        <f>'Cuota Parte'!B37</f>
        <v>Primas devengadas</v>
      </c>
      <c r="D23" s="4">
        <f>'Cuota Parte'!D37</f>
        <v>18800</v>
      </c>
      <c r="H23" s="28">
        <f>H21-H22</f>
        <v>16565</v>
      </c>
      <c r="L23" s="28">
        <f>L21</f>
        <v>16565</v>
      </c>
    </row>
    <row r="24" spans="2:12" x14ac:dyDescent="0.2">
      <c r="B24" s="1" t="str">
        <f>'Cuota Parte'!B38</f>
        <v>Siniestros</v>
      </c>
      <c r="D24" s="4">
        <f>'Cuota Parte'!D38</f>
        <v>11750</v>
      </c>
      <c r="H24" s="28">
        <f t="shared" si="1"/>
        <v>11750</v>
      </c>
      <c r="J24" s="28">
        <f>IF($E$2=1,'Cuota Parte'!G38+'Cuota Parte'!H38,IF($E$2=2,'Cuota Parte'!G92+'Cuota Parte'!H92,IF($E$2=3,'Cuota Parte'!G146+'Cuota Parte'!H146,0)))</f>
        <v>69</v>
      </c>
      <c r="K24" s="28">
        <f>IF($G$2=1,'Exceso Pérdida'!G126+'Exceso Pérdida'!H126,IF($G$2=2,'Exceso Pérdida'!G77+'Exceso Pérdida'!H77,IF($G$2=3,'Exceso Pérdida'!G28+'Exceso Pérdida'!H28,0)))</f>
        <v>200</v>
      </c>
      <c r="L24" s="28">
        <f t="shared" si="2"/>
        <v>12019</v>
      </c>
    </row>
    <row r="25" spans="2:12" x14ac:dyDescent="0.2">
      <c r="B25" s="1" t="str">
        <f>'Cuota Parte'!B39</f>
        <v>Gastos</v>
      </c>
      <c r="D25" s="4">
        <f>'Cuota Parte'!D39</f>
        <v>4000</v>
      </c>
      <c r="E25" s="4">
        <f>IF($E$2=1,'Cuota Parte'!E39,IF($E$2=2,'Cuota Parte'!E93,IF($E$2=3,'Cuota Parte'!E147,0)))</f>
        <v>-228</v>
      </c>
      <c r="F25" s="4">
        <f>IF($F$2=1,#REF!,IF($F$2=2,#REF!,IF($F$2=3,#REF!,0)))</f>
        <v>0</v>
      </c>
      <c r="G25" s="4">
        <f>IF($G$2=1,'Exceso Pérdida'!E128,IF($G$2=2,'Exceso Pérdida'!E78,IF($G$2=3,'Exceso Pérdida'!E29,0)))</f>
        <v>0</v>
      </c>
      <c r="H25" s="28">
        <f t="shared" si="1"/>
        <v>3772</v>
      </c>
      <c r="L25" s="28">
        <f t="shared" si="2"/>
        <v>3772</v>
      </c>
    </row>
    <row r="26" spans="2:12" x14ac:dyDescent="0.2">
      <c r="B26" s="1" t="str">
        <f>'Cuota Parte'!B40</f>
        <v>Ingreso por seguros</v>
      </c>
      <c r="D26" s="7">
        <f>'Cuota Parte'!D40</f>
        <v>3050</v>
      </c>
      <c r="E26" s="30"/>
      <c r="F26" s="30"/>
      <c r="G26" s="30"/>
      <c r="H26" s="32">
        <f>H23-H24-H25</f>
        <v>1043</v>
      </c>
      <c r="L26" s="32">
        <f>L23-L24-L25</f>
        <v>774</v>
      </c>
    </row>
    <row r="27" spans="2:12" x14ac:dyDescent="0.2">
      <c r="D27" s="4"/>
      <c r="H27" s="28">
        <f t="shared" si="1"/>
        <v>0</v>
      </c>
      <c r="L27" s="28">
        <f t="shared" si="2"/>
        <v>0</v>
      </c>
    </row>
    <row r="28" spans="2:12" x14ac:dyDescent="0.2">
      <c r="B28" s="1" t="str">
        <f>'Cuota Parte'!B42</f>
        <v>Ingreso por inversiones</v>
      </c>
      <c r="D28" s="4">
        <f>'Cuota Parte'!D42</f>
        <v>350</v>
      </c>
      <c r="E28" s="4">
        <f>IF($E$2=1,'Cuota Parte'!E42,IF($E$2=2,'Cuota Parte'!E96,IF($E$2=3,'Cuota Parte'!E150,0)))</f>
        <v>0</v>
      </c>
      <c r="F28" s="4">
        <f>IF($F$2=1,#REF!,IF($F$2=2,#REF!,IF($F$2=3,#REF!,0)))</f>
        <v>0</v>
      </c>
      <c r="G28" s="4">
        <f>IF($G$2=1,'Exceso Pérdida'!E131,IF($G$2=2,'Exceso Pérdida'!E81,IF($G$2=3,'Exceso Pérdida'!E32,0)))</f>
        <v>0</v>
      </c>
      <c r="H28" s="28">
        <f t="shared" si="1"/>
        <v>350</v>
      </c>
      <c r="L28" s="28">
        <f t="shared" si="2"/>
        <v>350</v>
      </c>
    </row>
    <row r="29" spans="2:12" ht="15.75" thickBot="1" x14ac:dyDescent="0.25">
      <c r="B29" s="1" t="str">
        <f>'Cuota Parte'!B43</f>
        <v>Ingreso Neto</v>
      </c>
      <c r="D29" s="5">
        <f>'Cuota Parte'!D43</f>
        <v>3400</v>
      </c>
      <c r="E29" s="29"/>
      <c r="F29" s="29"/>
      <c r="G29" s="29"/>
      <c r="H29" s="31">
        <f>H26+H28</f>
        <v>1393</v>
      </c>
      <c r="L29" s="31">
        <f>L26+L28</f>
        <v>1124</v>
      </c>
    </row>
    <row r="32" spans="2:12" x14ac:dyDescent="0.2">
      <c r="B32" s="1" t="str">
        <f>'Cuota Parte'!B46</f>
        <v>Ratio de siniestralidad</v>
      </c>
      <c r="D32" s="8">
        <f>'Cuota Parte'!D46</f>
        <v>0.625</v>
      </c>
      <c r="H32" s="8">
        <f>H24/H23</f>
        <v>0.70932689405372773</v>
      </c>
      <c r="L32" s="8">
        <f>L24/L23</f>
        <v>0.72556595230908538</v>
      </c>
    </row>
    <row r="33" spans="2:12" x14ac:dyDescent="0.2">
      <c r="B33" s="1" t="str">
        <f>'Cuota Parte'!B47</f>
        <v>Ratio de gastos</v>
      </c>
      <c r="D33" s="8">
        <f>'Cuota Parte'!D47</f>
        <v>0.21276595744680851</v>
      </c>
      <c r="H33" s="8">
        <f>H25/H19</f>
        <v>0.20063829787234042</v>
      </c>
      <c r="L33" s="8">
        <f>L25/L19</f>
        <v>0.20063829787234042</v>
      </c>
    </row>
    <row r="34" spans="2:12" x14ac:dyDescent="0.2">
      <c r="B34" s="1" t="str">
        <f>'Cuota Parte'!B48</f>
        <v>Ratio combinado</v>
      </c>
      <c r="D34" s="8">
        <f>'Cuota Parte'!D48</f>
        <v>0.83776595744680848</v>
      </c>
      <c r="H34" s="8">
        <f>H32+H33</f>
        <v>0.90996519192606817</v>
      </c>
      <c r="L34" s="8">
        <f>L32+L33</f>
        <v>0.92620425018142583</v>
      </c>
    </row>
    <row r="35" spans="2:12" x14ac:dyDescent="0.2">
      <c r="D35" s="8"/>
      <c r="H35" s="8"/>
      <c r="L35" s="8"/>
    </row>
    <row r="36" spans="2:12" x14ac:dyDescent="0.2">
      <c r="B36" s="1" t="str">
        <f>'Cuota Parte'!B50</f>
        <v>Primas/patrimonio</v>
      </c>
      <c r="D36" s="8">
        <f>'Cuota Parte'!D50</f>
        <v>2.1860465116279069</v>
      </c>
      <c r="H36" s="8">
        <f>H21/H15</f>
        <v>2.12127032910744</v>
      </c>
      <c r="L36" s="8">
        <f>L21/L15</f>
        <v>2.17845870594424</v>
      </c>
    </row>
    <row r="37" spans="2:12" x14ac:dyDescent="0.2">
      <c r="B37" s="1" t="s">
        <v>11</v>
      </c>
      <c r="D37" s="8">
        <f>D29/D8</f>
        <v>0.10608424336973479</v>
      </c>
      <c r="H37" s="8">
        <f t="shared" ref="H37" si="3">H29/H8</f>
        <v>4.6366874147055884E-2</v>
      </c>
      <c r="L37" s="8">
        <f>L29/L8</f>
        <v>3.7413041307459309E-2</v>
      </c>
    </row>
    <row r="38" spans="2:12" x14ac:dyDescent="0.2">
      <c r="B38" s="1" t="s">
        <v>12</v>
      </c>
      <c r="D38" s="8">
        <f>D29/D15</f>
        <v>0.39534883720930231</v>
      </c>
      <c r="H38" s="8">
        <f t="shared" ref="H38" si="4">H29/H15</f>
        <v>0.17838391599436548</v>
      </c>
      <c r="L38" s="8">
        <f>L29/L15</f>
        <v>0.14781693845344557</v>
      </c>
    </row>
    <row r="40" spans="2:12" x14ac:dyDescent="0.2">
      <c r="B40" s="1" t="str">
        <f>'Cuota Parte'!B54</f>
        <v>Primas cedidas</v>
      </c>
      <c r="D40" s="8">
        <f>-D20/D19</f>
        <v>0</v>
      </c>
      <c r="H40" s="8">
        <f>-H20/H19</f>
        <v>0.11888297872340425</v>
      </c>
      <c r="L40" s="8">
        <f>-L20/L19</f>
        <v>0.11888297872340425</v>
      </c>
    </row>
  </sheetData>
  <pageMargins left="0.7" right="0.7" top="0.75" bottom="0.75" header="0.3" footer="0.3"/>
  <pageSetup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0"/>
  <sheetViews>
    <sheetView topLeftCell="A16" zoomScaleNormal="100" workbookViewId="0">
      <selection activeCell="B22" sqref="B22"/>
    </sheetView>
  </sheetViews>
  <sheetFormatPr baseColWidth="10" defaultColWidth="9.140625" defaultRowHeight="15" x14ac:dyDescent="0.2"/>
  <cols>
    <col min="1" max="1" width="9.140625" style="1"/>
    <col min="2" max="2" width="27.5703125" style="1" customWidth="1"/>
    <col min="3" max="3" width="2.7109375" style="1" customWidth="1"/>
    <col min="4" max="4" width="17.5703125" style="1" customWidth="1"/>
    <col min="5" max="5" width="15" style="1" customWidth="1"/>
    <col min="6" max="6" width="9.28515625" style="1" hidden="1" customWidth="1"/>
    <col min="7" max="7" width="9.28515625" style="1" bestFit="1" customWidth="1"/>
    <col min="8" max="8" width="11.42578125" style="1" customWidth="1"/>
    <col min="9" max="9" width="4.140625" style="1" customWidth="1"/>
    <col min="10" max="11" width="11.5703125" style="1" customWidth="1"/>
    <col min="12" max="12" width="13.140625" style="1" customWidth="1"/>
    <col min="13" max="16384" width="9.140625" style="1"/>
  </cols>
  <sheetData>
    <row r="1" spans="2:15" ht="15.75" thickBot="1" x14ac:dyDescent="0.25">
      <c r="B1" s="33"/>
      <c r="C1" s="33"/>
      <c r="D1" s="33"/>
    </row>
    <row r="2" spans="2:15" ht="16.5" thickBot="1" x14ac:dyDescent="0.3">
      <c r="B2" s="34" t="s">
        <v>10</v>
      </c>
      <c r="C2" s="35"/>
      <c r="D2" s="36"/>
      <c r="E2" s="34">
        <v>2</v>
      </c>
      <c r="F2" s="37">
        <v>0</v>
      </c>
      <c r="G2" s="36">
        <v>2</v>
      </c>
    </row>
    <row r="4" spans="2:15" ht="15.75" x14ac:dyDescent="0.25">
      <c r="B4" s="1" t="str">
        <f>'Cuota Parte'!B17</f>
        <v>Balance</v>
      </c>
      <c r="D4" s="45" t="s">
        <v>87</v>
      </c>
      <c r="E4" s="45" t="str">
        <f>'Cuota Parte'!E17</f>
        <v>Cuota Parte</v>
      </c>
      <c r="F4" s="45" t="s">
        <v>4</v>
      </c>
      <c r="G4" s="45" t="s">
        <v>5</v>
      </c>
      <c r="H4" s="45" t="s">
        <v>6</v>
      </c>
      <c r="J4" s="45" t="str">
        <f>E4</f>
        <v>Cuota Parte</v>
      </c>
      <c r="K4" s="45" t="str">
        <f>G4</f>
        <v>Cat XL</v>
      </c>
      <c r="L4" s="45" t="s">
        <v>88</v>
      </c>
    </row>
    <row r="5" spans="2:15" x14ac:dyDescent="0.2">
      <c r="B5" s="1" t="str">
        <f>'Cuota Parte'!B18</f>
        <v>ACTIVOS</v>
      </c>
    </row>
    <row r="6" spans="2:15" x14ac:dyDescent="0.2">
      <c r="B6" s="1" t="str">
        <f>'Cuota Parte'!B19</f>
        <v>Efectivo y títulos</v>
      </c>
      <c r="D6" s="4">
        <f>'Cuota Parte'!D19</f>
        <v>19800</v>
      </c>
      <c r="E6" s="4">
        <f>IF($E$2=1,'Cuota Parte'!E19,IF($E$2=2,'Cuota Parte'!E73,IF($E$2=3,'Cuota Parte'!E127,0)))</f>
        <v>-1088</v>
      </c>
      <c r="F6" s="4">
        <f>IF($F$2=1,#REF!,IF($F$2=2,#REF!,IF($F$2=3,#REF!,0)))</f>
        <v>0</v>
      </c>
      <c r="G6" s="4">
        <f>IF($G$2=1,'Exceso Pérdida'!E107,IF($G$2=2,'Exceso Pérdida'!E58,IF($G$2=3,'Exceso Pérdida'!E9,0)))</f>
        <v>-580</v>
      </c>
      <c r="H6" s="28">
        <f>SUM(D6:G6)</f>
        <v>18132</v>
      </c>
      <c r="K6" s="28">
        <f>IF($G$2=1,'Exceso Pérdida'!G107+'Exceso Pérdida'!H107,IF($G$2=2,'Exceso Pérdida'!G58+'Exceso Pérdida'!H58,IF($G$2=3,'Exceso Pérdida'!G9+'Exceso Pérdida'!H9,0)))</f>
        <v>-90</v>
      </c>
      <c r="L6" s="28">
        <f>SUM(H6:K6)</f>
        <v>18042</v>
      </c>
    </row>
    <row r="7" spans="2:15" x14ac:dyDescent="0.2">
      <c r="B7" s="1" t="str">
        <f>'Cuota Parte'!B20</f>
        <v>Otros activos</v>
      </c>
      <c r="D7" s="4">
        <f>'Cuota Parte'!D20</f>
        <v>12250</v>
      </c>
      <c r="H7" s="28">
        <f>SUM(D7:G7)</f>
        <v>12250</v>
      </c>
      <c r="L7" s="28">
        <f>SUM(H7:K7)</f>
        <v>12250</v>
      </c>
    </row>
    <row r="8" spans="2:15" ht="15.75" thickBot="1" x14ac:dyDescent="0.25">
      <c r="D8" s="5">
        <f>'Cuota Parte'!D21</f>
        <v>32050</v>
      </c>
      <c r="E8" s="29"/>
      <c r="F8" s="29"/>
      <c r="G8" s="29"/>
      <c r="H8" s="5">
        <f>H6+H7</f>
        <v>30382</v>
      </c>
      <c r="L8" s="5">
        <f>L6+L7</f>
        <v>30292</v>
      </c>
    </row>
    <row r="9" spans="2:15" x14ac:dyDescent="0.2">
      <c r="D9" s="4"/>
      <c r="E9" s="4"/>
    </row>
    <row r="10" spans="2:15" x14ac:dyDescent="0.2">
      <c r="B10" s="1" t="str">
        <f>'Cuota Parte'!B23</f>
        <v>PASIVOS</v>
      </c>
      <c r="D10" s="4"/>
      <c r="E10" s="4"/>
    </row>
    <row r="11" spans="2:15" x14ac:dyDescent="0.2">
      <c r="B11" s="1" t="str">
        <f>'Cuota Parte'!B24</f>
        <v>Reserva   BRUTA</v>
      </c>
      <c r="D11" s="4">
        <f>'Cuota Parte'!D24</f>
        <v>23450</v>
      </c>
      <c r="E11" s="4">
        <f>-IF($E$2=1,'Cuota Parte'!E25,IF($E$2=2,'Cuota Parte'!E79,IF($E$2=3,'Cuota Parte'!E133,0)))</f>
        <v>-1024</v>
      </c>
      <c r="F11" s="4">
        <f>IF($F$2=1,#REF!,IF($F$2=2,#REF!,IF($F$2=3,#REF!,0)))</f>
        <v>0</v>
      </c>
      <c r="G11" s="4">
        <f>IF($G$2=1,'Exceso Pérdida'!E113,IF($G$2=2,'Exceso Pérdida'!E63,IF($G$2=3,'Exceso Pérdida'!E14,0)))</f>
        <v>0</v>
      </c>
      <c r="H11" s="28">
        <f t="shared" ref="H11:H12" si="0">SUM(D11:G11)</f>
        <v>22426</v>
      </c>
      <c r="J11" s="28">
        <f>IF($E$2=1,'Cuota Parte'!G24-'Cuota Parte'!H25,IF($E$2=2,'Cuota Parte'!G78-'Cuota Parte'!H79,IF($E$2=3,'Cuota Parte'!G132-'Cuota Parte'!H133,0)))</f>
        <v>20</v>
      </c>
      <c r="K11" s="28">
        <f>IF($G$2=1,'Exceso Pérdida'!G112-'Exceso Pérdida'!H113,IF($G$2=2,'Exceso Pérdida'!G63-'Exceso Pérdida'!H64,IF($G$2=3,'Exceso Pérdida'!G14-'Exceso Pérdida'!H15,0)))</f>
        <v>400</v>
      </c>
      <c r="L11" s="28">
        <f>SUM(H11:K11)</f>
        <v>22846</v>
      </c>
    </row>
    <row r="12" spans="2:15" x14ac:dyDescent="0.2">
      <c r="D12" s="4"/>
      <c r="H12" s="28">
        <f t="shared" si="0"/>
        <v>0</v>
      </c>
    </row>
    <row r="13" spans="2:15" x14ac:dyDescent="0.2">
      <c r="D13" s="7">
        <f>'Cuota Parte'!D27</f>
        <v>23450</v>
      </c>
      <c r="E13" s="30"/>
      <c r="F13" s="30"/>
      <c r="G13" s="30"/>
      <c r="H13" s="7">
        <f>H11+H12</f>
        <v>22426</v>
      </c>
      <c r="L13" s="7">
        <f>L11+L12</f>
        <v>22846</v>
      </c>
    </row>
    <row r="14" spans="2:15" x14ac:dyDescent="0.2">
      <c r="D14" s="4"/>
      <c r="E14" s="4"/>
    </row>
    <row r="15" spans="2:15" x14ac:dyDescent="0.2">
      <c r="B15" s="1" t="str">
        <f>'Cuota Parte'!B29</f>
        <v>PATRIMONIO</v>
      </c>
      <c r="D15" s="4">
        <f>'Cuota Parte'!D29</f>
        <v>8600</v>
      </c>
      <c r="E15" s="4">
        <f>IF($E$2=1,'Cuota Parte'!E29,IF($E$2=2,'Cuota Parte'!E83,IF($E$2=3,'Cuota Parte'!E137,0)))</f>
        <v>-64</v>
      </c>
      <c r="F15" s="4">
        <f>IF($F$2=1,#REF!,IF($F$2=2,#REF!,IF($F$2=3,#REF!,0)))</f>
        <v>0</v>
      </c>
      <c r="G15" s="4">
        <f>IF($G$2=1,'Exceso Pérdida'!E117,IF($G$2=2,'Exceso Pérdida'!E68,IF($G$2=3,'Exceso Pérdida'!E19,0)))</f>
        <v>-580</v>
      </c>
      <c r="H15" s="28">
        <f>SUM(D15:G15)</f>
        <v>7956</v>
      </c>
      <c r="J15" s="28">
        <f>IF($E$2=1,'Cuota Parte'!G29+'Cuota Parte'!H29,IF($E$2=2,'Cuota Parte'!G83+'Cuota Parte'!H83,IF($E$2=3,'Cuota Parte'!G137+'Cuota Parte'!H137,0)))</f>
        <v>-20</v>
      </c>
      <c r="K15" s="28">
        <f>IF($G$2=1,'Exceso Pérdida'!G117+'Exceso Pérdida'!H117,IF($G$2=2,'Exceso Pérdida'!G68+'Exceso Pérdida'!H68,IF($G$2=3,'Exceso Pérdida'!G19+'Exceso Pérdida'!H19,0)))</f>
        <v>-490</v>
      </c>
      <c r="L15" s="28">
        <f>SUM(H15:K15)</f>
        <v>7446</v>
      </c>
      <c r="O15" s="28"/>
    </row>
    <row r="16" spans="2:15" ht="15.75" thickBot="1" x14ac:dyDescent="0.25">
      <c r="D16" s="5">
        <f>'Cuota Parte'!D30</f>
        <v>32050</v>
      </c>
      <c r="E16" s="29"/>
      <c r="F16" s="29"/>
      <c r="G16" s="29"/>
      <c r="H16" s="31">
        <f>H13+H15</f>
        <v>30382</v>
      </c>
      <c r="L16" s="31">
        <f>L13+L15</f>
        <v>30292</v>
      </c>
    </row>
    <row r="17" spans="2:12" x14ac:dyDescent="0.2">
      <c r="D17" s="4"/>
      <c r="E17" s="4"/>
    </row>
    <row r="18" spans="2:12" x14ac:dyDescent="0.2">
      <c r="B18" s="1" t="str">
        <f>'Cuota Parte'!B32</f>
        <v>Estado de Resultados</v>
      </c>
      <c r="D18" s="4"/>
    </row>
    <row r="19" spans="2:12" x14ac:dyDescent="0.2">
      <c r="B19" s="1" t="str">
        <f>'Cuota Parte'!B33</f>
        <v>Primas Brutas</v>
      </c>
      <c r="D19" s="4">
        <f>'Cuota Parte'!D33</f>
        <v>18800</v>
      </c>
      <c r="H19" s="28">
        <f t="shared" ref="H19:H28" si="1">SUM(D19:G19)</f>
        <v>18800</v>
      </c>
      <c r="L19" s="28">
        <f t="shared" ref="L19:L28" si="2">SUM(H19:K19)</f>
        <v>18800</v>
      </c>
    </row>
    <row r="20" spans="2:12" x14ac:dyDescent="0.2">
      <c r="B20" s="1" t="str">
        <f>'Cuota Parte'!B34</f>
        <v>Primas Cedidas</v>
      </c>
      <c r="D20" s="4"/>
      <c r="E20" s="4">
        <f>-IF($E$2=1,'Cuota Parte'!E34,IF($E$2=2,'Cuota Parte'!E88,IF($E$2=3,'Cuota Parte'!E142,0)))</f>
        <v>-1280</v>
      </c>
      <c r="F20" s="4">
        <f>IF($F$2=1,#REF!,IF($F$2=2,#REF!,IF($F$2=3,#REF!,0)))</f>
        <v>0</v>
      </c>
      <c r="G20" s="4">
        <f>-IF($G$2=1,'Exceso Pérdida'!E122,IF($G$2=2,'Exceso Pérdida'!E73,IF($G$2=3,'Exceso Pérdida'!E24,0)))</f>
        <v>-580</v>
      </c>
      <c r="H20" s="28">
        <f t="shared" si="1"/>
        <v>-1860</v>
      </c>
      <c r="K20" s="28">
        <f>-IF($G$2=1,'Exceso Pérdida'!G122+'Exceso Pérdida'!H122,IF($G$2=2,'Exceso Pérdida'!G73+'Exceso Pérdida'!H73,IF($G$2=3,'Exceso Pérdida'!G24+'Exceso Pérdida'!H24,0)))</f>
        <v>-90</v>
      </c>
      <c r="L20" s="28">
        <f t="shared" si="2"/>
        <v>-1950</v>
      </c>
    </row>
    <row r="21" spans="2:12" x14ac:dyDescent="0.2">
      <c r="B21" s="1" t="str">
        <f>'Cuota Parte'!B35</f>
        <v>Primas Netas</v>
      </c>
      <c r="D21" s="7">
        <f>'Cuota Parte'!D35</f>
        <v>18800</v>
      </c>
      <c r="E21" s="30"/>
      <c r="F21" s="30"/>
      <c r="G21" s="30"/>
      <c r="H21" s="7">
        <f>H19+H20</f>
        <v>16940</v>
      </c>
      <c r="L21" s="7">
        <f>L19+L20</f>
        <v>16850</v>
      </c>
    </row>
    <row r="22" spans="2:12" x14ac:dyDescent="0.2">
      <c r="B22" s="1" t="str">
        <f>'Cuota Parte'!B36</f>
        <v>Change  in UEP</v>
      </c>
      <c r="D22" s="4"/>
      <c r="H22" s="28">
        <f t="shared" si="1"/>
        <v>0</v>
      </c>
    </row>
    <row r="23" spans="2:12" x14ac:dyDescent="0.2">
      <c r="B23" s="1" t="str">
        <f>'Cuota Parte'!B37</f>
        <v>Primas devengadas</v>
      </c>
      <c r="D23" s="4">
        <f>'Cuota Parte'!D37</f>
        <v>18800</v>
      </c>
      <c r="H23" s="28">
        <f>H21-H22</f>
        <v>16940</v>
      </c>
      <c r="L23" s="28">
        <f>L21</f>
        <v>16850</v>
      </c>
    </row>
    <row r="24" spans="2:12" x14ac:dyDescent="0.2">
      <c r="B24" s="1" t="str">
        <f>'Cuota Parte'!B38</f>
        <v>Siniestros</v>
      </c>
      <c r="D24" s="4">
        <f>'Cuota Parte'!D38</f>
        <v>11750</v>
      </c>
      <c r="H24" s="28">
        <f t="shared" si="1"/>
        <v>11750</v>
      </c>
      <c r="J24" s="28">
        <f>IF($E$2=1,'Cuota Parte'!G38+'Cuota Parte'!H38,IF($E$2=2,'Cuota Parte'!G92+'Cuota Parte'!H92,IF($E$2=3,'Cuota Parte'!G146+'Cuota Parte'!H146,0)))</f>
        <v>276</v>
      </c>
      <c r="K24" s="28">
        <f>IF($G$2=1,'Exceso Pérdida'!G126+'Exceso Pérdida'!H126,IF($G$2=2,'Exceso Pérdida'!G77+'Exceso Pérdida'!H77,IF($G$2=3,'Exceso Pérdida'!G28+'Exceso Pérdida'!H28,0)))</f>
        <v>400</v>
      </c>
      <c r="L24" s="28">
        <f t="shared" si="2"/>
        <v>12426</v>
      </c>
    </row>
    <row r="25" spans="2:12" x14ac:dyDescent="0.2">
      <c r="B25" s="1" t="str">
        <f>'Cuota Parte'!B39</f>
        <v>Gastos</v>
      </c>
      <c r="D25" s="4">
        <f>'Cuota Parte'!D39</f>
        <v>4000</v>
      </c>
      <c r="E25" s="4">
        <f>IF($E$2=1,'Cuota Parte'!E39,IF($E$2=2,'Cuota Parte'!E93,IF($E$2=3,'Cuota Parte'!E147,0)))</f>
        <v>-192</v>
      </c>
      <c r="F25" s="4">
        <f>IF($F$2=1,#REF!,IF($F$2=2,#REF!,IF($F$2=3,#REF!,0)))</f>
        <v>0</v>
      </c>
      <c r="G25" s="4">
        <f>IF($G$2=1,'Exceso Pérdida'!E128,IF($G$2=2,'Exceso Pérdida'!E78,IF($G$2=3,'Exceso Pérdida'!E29,0)))</f>
        <v>0</v>
      </c>
      <c r="H25" s="28">
        <f t="shared" si="1"/>
        <v>3808</v>
      </c>
      <c r="L25" s="28">
        <f t="shared" si="2"/>
        <v>3808</v>
      </c>
    </row>
    <row r="26" spans="2:12" x14ac:dyDescent="0.2">
      <c r="B26" s="1" t="str">
        <f>'Cuota Parte'!B40</f>
        <v>Ingreso por seguros</v>
      </c>
      <c r="D26" s="7">
        <f>'Cuota Parte'!D40</f>
        <v>3050</v>
      </c>
      <c r="E26" s="30"/>
      <c r="F26" s="30"/>
      <c r="G26" s="30"/>
      <c r="H26" s="32">
        <f>H23-H24-H25</f>
        <v>1382</v>
      </c>
      <c r="L26" s="32">
        <f>L23-L24-L25</f>
        <v>616</v>
      </c>
    </row>
    <row r="27" spans="2:12" x14ac:dyDescent="0.2">
      <c r="D27" s="4"/>
      <c r="H27" s="28">
        <f t="shared" si="1"/>
        <v>0</v>
      </c>
      <c r="L27" s="28">
        <f t="shared" si="2"/>
        <v>0</v>
      </c>
    </row>
    <row r="28" spans="2:12" x14ac:dyDescent="0.2">
      <c r="B28" s="1" t="str">
        <f>'Cuota Parte'!B42</f>
        <v>Ingreso por inversiones</v>
      </c>
      <c r="D28" s="4">
        <f>'Cuota Parte'!D42</f>
        <v>350</v>
      </c>
      <c r="E28" s="4">
        <f>IF($E$2=1,'Cuota Parte'!E42,IF($E$2=2,'Cuota Parte'!E96,IF($E$2=3,'Cuota Parte'!E150,0)))</f>
        <v>0</v>
      </c>
      <c r="F28" s="4">
        <f>IF($F$2=1,#REF!,IF($F$2=2,#REF!,IF($F$2=3,#REF!,0)))</f>
        <v>0</v>
      </c>
      <c r="G28" s="4">
        <f>IF($G$2=1,'Exceso Pérdida'!E131,IF($G$2=2,'Exceso Pérdida'!E81,IF($G$2=3,'Exceso Pérdida'!E32,0)))</f>
        <v>0</v>
      </c>
      <c r="H28" s="28">
        <f t="shared" si="1"/>
        <v>350</v>
      </c>
      <c r="L28" s="28">
        <f t="shared" si="2"/>
        <v>350</v>
      </c>
    </row>
    <row r="29" spans="2:12" ht="15.75" thickBot="1" x14ac:dyDescent="0.25">
      <c r="B29" s="1" t="str">
        <f>'Cuota Parte'!B43</f>
        <v>Ingreso Neto</v>
      </c>
      <c r="D29" s="5">
        <f>'Cuota Parte'!D43</f>
        <v>3400</v>
      </c>
      <c r="E29" s="29"/>
      <c r="F29" s="29"/>
      <c r="G29" s="29"/>
      <c r="H29" s="31">
        <f>H26+H28</f>
        <v>1732</v>
      </c>
      <c r="L29" s="31">
        <f>L26+L28</f>
        <v>966</v>
      </c>
    </row>
    <row r="32" spans="2:12" x14ac:dyDescent="0.2">
      <c r="B32" s="1" t="str">
        <f>'Cuota Parte'!B46</f>
        <v>Ratio de siniestralidad</v>
      </c>
      <c r="D32" s="8">
        <f>'Cuota Parte'!D46</f>
        <v>0.625</v>
      </c>
      <c r="H32" s="8">
        <f>H24/H23</f>
        <v>0.69362455726092087</v>
      </c>
      <c r="L32" s="8">
        <f>L24/L23</f>
        <v>0.73744807121661726</v>
      </c>
    </row>
    <row r="33" spans="2:12" x14ac:dyDescent="0.2">
      <c r="B33" s="1" t="str">
        <f>'Cuota Parte'!B47</f>
        <v>Ratio de gastos</v>
      </c>
      <c r="D33" s="8">
        <f>'Cuota Parte'!D47</f>
        <v>0.21276595744680851</v>
      </c>
      <c r="H33" s="8">
        <f>H25/H19</f>
        <v>0.20255319148936171</v>
      </c>
      <c r="L33" s="8">
        <f>L25/L19</f>
        <v>0.20255319148936171</v>
      </c>
    </row>
    <row r="34" spans="2:12" x14ac:dyDescent="0.2">
      <c r="B34" s="1" t="str">
        <f>'Cuota Parte'!B48</f>
        <v>Ratio combinado</v>
      </c>
      <c r="D34" s="8">
        <f>'Cuota Parte'!D48</f>
        <v>0.83776595744680848</v>
      </c>
      <c r="H34" s="8">
        <f>H32+H33</f>
        <v>0.89617774875028255</v>
      </c>
      <c r="L34" s="8">
        <f>L32+L33</f>
        <v>0.94000126270597895</v>
      </c>
    </row>
    <row r="35" spans="2:12" x14ac:dyDescent="0.2">
      <c r="D35" s="8"/>
      <c r="H35" s="8"/>
      <c r="L35" s="8"/>
    </row>
    <row r="36" spans="2:12" x14ac:dyDescent="0.2">
      <c r="B36" s="1" t="str">
        <f>'Cuota Parte'!B50</f>
        <v>Primas/patrimonio</v>
      </c>
      <c r="D36" s="8">
        <f>'Cuota Parte'!D50</f>
        <v>2.1860465116279069</v>
      </c>
      <c r="H36" s="8">
        <f>H21/H15</f>
        <v>2.1292106586224233</v>
      </c>
      <c r="L36" s="8">
        <f>L21/L15</f>
        <v>2.2629599785119527</v>
      </c>
    </row>
    <row r="37" spans="2:12" x14ac:dyDescent="0.2">
      <c r="B37" s="1" t="s">
        <v>11</v>
      </c>
      <c r="D37" s="8">
        <f>D29/D8</f>
        <v>0.10608424336973479</v>
      </c>
      <c r="H37" s="8">
        <f t="shared" ref="H37" si="3">H29/H8</f>
        <v>5.7007438614969388E-2</v>
      </c>
      <c r="L37" s="8">
        <f>L29/L8</f>
        <v>3.188960781724548E-2</v>
      </c>
    </row>
    <row r="38" spans="2:12" x14ac:dyDescent="0.2">
      <c r="B38" s="1" t="s">
        <v>12</v>
      </c>
      <c r="D38" s="8">
        <f>D29/D15</f>
        <v>0.39534883720930231</v>
      </c>
      <c r="H38" s="8">
        <f t="shared" ref="H38" si="4">H29/H15</f>
        <v>0.21769733534439417</v>
      </c>
      <c r="L38" s="8">
        <f>L29/L15</f>
        <v>0.1297340854149879</v>
      </c>
    </row>
    <row r="40" spans="2:12" x14ac:dyDescent="0.2">
      <c r="B40" s="1" t="str">
        <f>'Cuota Parte'!B54</f>
        <v>Primas cedidas</v>
      </c>
      <c r="D40" s="8">
        <f>-D20/D19</f>
        <v>0</v>
      </c>
      <c r="H40" s="8">
        <f>-H20/H19</f>
        <v>9.8936170212765961E-2</v>
      </c>
      <c r="L40" s="8">
        <f>-L20/L19</f>
        <v>0.10372340425531915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opLeftCell="A28" zoomScaleNormal="100" workbookViewId="0">
      <selection activeCell="B22" sqref="B22"/>
    </sheetView>
  </sheetViews>
  <sheetFormatPr baseColWidth="10" defaultColWidth="9.140625" defaultRowHeight="15" x14ac:dyDescent="0.2"/>
  <cols>
    <col min="1" max="1" width="9.140625" style="1"/>
    <col min="2" max="2" width="25.7109375" style="1" customWidth="1"/>
    <col min="3" max="3" width="4.85546875" style="1" customWidth="1"/>
    <col min="4" max="4" width="17.5703125" style="1" customWidth="1"/>
    <col min="5" max="5" width="12" style="1" customWidth="1"/>
    <col min="6" max="6" width="9.28515625" style="1" hidden="1" customWidth="1"/>
    <col min="7" max="7" width="9.28515625" style="1" bestFit="1" customWidth="1"/>
    <col min="8" max="8" width="11.42578125" style="1" customWidth="1"/>
    <col min="9" max="9" width="5.42578125" style="1" customWidth="1"/>
    <col min="10" max="12" width="11.5703125" style="1" customWidth="1"/>
    <col min="13" max="16384" width="9.140625" style="1"/>
  </cols>
  <sheetData>
    <row r="1" spans="2:15" ht="15.75" thickBot="1" x14ac:dyDescent="0.25">
      <c r="B1" s="33"/>
      <c r="C1" s="33"/>
      <c r="D1" s="33"/>
    </row>
    <row r="2" spans="2:15" ht="16.5" thickBot="1" x14ac:dyDescent="0.3">
      <c r="B2" s="34" t="s">
        <v>10</v>
      </c>
      <c r="C2" s="35"/>
      <c r="D2" s="36"/>
      <c r="E2" s="34">
        <v>3</v>
      </c>
      <c r="F2" s="37">
        <v>0</v>
      </c>
      <c r="G2" s="36">
        <v>3</v>
      </c>
    </row>
    <row r="4" spans="2:15" ht="15.75" x14ac:dyDescent="0.25">
      <c r="B4" s="1" t="str">
        <f>'Cuota Parte'!B17</f>
        <v>Balance</v>
      </c>
      <c r="D4" s="45" t="s">
        <v>87</v>
      </c>
      <c r="E4" s="45" t="str">
        <f>'Cuota Parte'!E17</f>
        <v>Cuota Parte</v>
      </c>
      <c r="F4" s="45" t="s">
        <v>4</v>
      </c>
      <c r="G4" s="45" t="s">
        <v>5</v>
      </c>
      <c r="H4" s="45" t="s">
        <v>6</v>
      </c>
      <c r="J4" s="45" t="str">
        <f>E4</f>
        <v>Cuota Parte</v>
      </c>
      <c r="K4" s="45" t="str">
        <f>G4</f>
        <v>Cat XL</v>
      </c>
      <c r="L4" s="45" t="s">
        <v>88</v>
      </c>
    </row>
    <row r="5" spans="2:15" x14ac:dyDescent="0.2">
      <c r="B5" s="1" t="str">
        <f>'Cuota Parte'!B18</f>
        <v>ACTIVOS</v>
      </c>
    </row>
    <row r="6" spans="2:15" x14ac:dyDescent="0.2">
      <c r="B6" s="1" t="str">
        <f>'Cuota Parte'!B19</f>
        <v>Efectivo y títulos</v>
      </c>
      <c r="D6" s="4">
        <f>'Cuota Parte'!D19</f>
        <v>19800</v>
      </c>
      <c r="E6" s="4">
        <f>IF($E$2=1,'Cuota Parte'!E19,IF($E$2=2,'Cuota Parte'!E73,IF($E$2=3,'Cuota Parte'!E127,0)))</f>
        <v>-680</v>
      </c>
      <c r="F6" s="4">
        <f>IF($F$2=1,#REF!,IF($F$2=2,#REF!,IF($F$2=3,#REF!,0)))</f>
        <v>0</v>
      </c>
      <c r="G6" s="4">
        <f>IF($G$2=1,'Exceso Pérdida'!E107,IF($G$2=2,'Exceso Pérdida'!E58,IF($G$2=3,'Exceso Pérdida'!E9,0)))</f>
        <v>-500</v>
      </c>
      <c r="H6" s="28">
        <f>SUM(D6:G6)</f>
        <v>18620</v>
      </c>
      <c r="K6" s="28">
        <f>IF($G$2=1,'Exceso Pérdida'!G107+'Exceso Pérdida'!H107,IF($G$2=2,'Exceso Pérdida'!G58+'Exceso Pérdida'!H58,IF($G$2=3,'Exceso Pérdida'!G9+'Exceso Pérdida'!H9,0)))</f>
        <v>0</v>
      </c>
      <c r="L6" s="28">
        <f>SUM(H6:K6)</f>
        <v>18620</v>
      </c>
    </row>
    <row r="7" spans="2:15" x14ac:dyDescent="0.2">
      <c r="B7" s="1" t="str">
        <f>'Cuota Parte'!B20</f>
        <v>Otros activos</v>
      </c>
      <c r="D7" s="4">
        <f>'Cuota Parte'!D20</f>
        <v>12250</v>
      </c>
      <c r="H7" s="28">
        <f>SUM(D7:G7)</f>
        <v>12250</v>
      </c>
      <c r="L7" s="28">
        <f>SUM(H7:K7)</f>
        <v>12250</v>
      </c>
    </row>
    <row r="8" spans="2:15" ht="15.75" thickBot="1" x14ac:dyDescent="0.25">
      <c r="D8" s="5">
        <f>'Cuota Parte'!D21</f>
        <v>32050</v>
      </c>
      <c r="E8" s="29"/>
      <c r="F8" s="29"/>
      <c r="G8" s="29"/>
      <c r="H8" s="5">
        <f>H6+H7</f>
        <v>30870</v>
      </c>
      <c r="L8" s="5">
        <f>L6+L7</f>
        <v>30870</v>
      </c>
    </row>
    <row r="9" spans="2:15" x14ac:dyDescent="0.2">
      <c r="D9" s="4"/>
      <c r="E9" s="4"/>
    </row>
    <row r="10" spans="2:15" x14ac:dyDescent="0.2">
      <c r="B10" s="1" t="str">
        <f>'Cuota Parte'!B23</f>
        <v>PASIVOS</v>
      </c>
      <c r="D10" s="4"/>
      <c r="E10" s="4"/>
    </row>
    <row r="11" spans="2:15" x14ac:dyDescent="0.2">
      <c r="B11" s="1" t="str">
        <f>'Cuota Parte'!B24</f>
        <v>Reserva   BRUTA</v>
      </c>
      <c r="D11" s="4">
        <f>'Cuota Parte'!D24</f>
        <v>23450</v>
      </c>
      <c r="E11" s="4">
        <f>-IF($E$2=1,'Cuota Parte'!E25,IF($E$2=2,'Cuota Parte'!E79,IF($E$2=3,'Cuota Parte'!E133,0)))</f>
        <v>-640</v>
      </c>
      <c r="F11" s="4">
        <f>IF($F$2=1,#REF!,IF($F$2=2,#REF!,IF($F$2=3,#REF!,0)))</f>
        <v>0</v>
      </c>
      <c r="G11" s="4">
        <f>IF($G$2=1,'Exceso Pérdida'!E113,IF($G$2=2,'Exceso Pérdida'!E63,IF($G$2=3,'Exceso Pérdida'!E14,0)))</f>
        <v>0</v>
      </c>
      <c r="H11" s="28">
        <f t="shared" ref="H11:H12" si="0">SUM(D11:G11)</f>
        <v>22810</v>
      </c>
      <c r="J11" s="28">
        <f>IF($E$2=1,'Cuota Parte'!G24-'Cuota Parte'!H25,IF($E$2=2,'Cuota Parte'!G78-'Cuota Parte'!H79,IF($E$2=3,'Cuota Parte'!G132-'Cuota Parte'!H133,0)))</f>
        <v>50</v>
      </c>
      <c r="K11" s="28">
        <f>IF($G$2=1,'Exceso Pérdida'!G112-'Exceso Pérdida'!H113,IF($G$2=2,'Exceso Pérdida'!G63-'Exceso Pérdida'!H64,IF($G$2=3,'Exceso Pérdida'!G14-'Exceso Pérdida'!H15,0)))</f>
        <v>750</v>
      </c>
      <c r="L11" s="28">
        <f>SUM(H11:K11)</f>
        <v>23610</v>
      </c>
    </row>
    <row r="12" spans="2:15" x14ac:dyDescent="0.2">
      <c r="D12" s="4"/>
      <c r="H12" s="28">
        <f t="shared" si="0"/>
        <v>0</v>
      </c>
    </row>
    <row r="13" spans="2:15" x14ac:dyDescent="0.2">
      <c r="D13" s="7">
        <f>'Cuota Parte'!D27</f>
        <v>23450</v>
      </c>
      <c r="E13" s="30"/>
      <c r="F13" s="30"/>
      <c r="G13" s="30"/>
      <c r="H13" s="7">
        <f>H11+H12</f>
        <v>22810</v>
      </c>
      <c r="L13" s="7">
        <f>L11+L12</f>
        <v>23610</v>
      </c>
    </row>
    <row r="14" spans="2:15" x14ac:dyDescent="0.2">
      <c r="D14" s="4"/>
      <c r="E14" s="4"/>
    </row>
    <row r="15" spans="2:15" x14ac:dyDescent="0.2">
      <c r="B15" s="1" t="str">
        <f>'Cuota Parte'!B29</f>
        <v>PATRIMONIO</v>
      </c>
      <c r="D15" s="4">
        <f>'Cuota Parte'!D29</f>
        <v>8600</v>
      </c>
      <c r="E15" s="4">
        <f>IF($E$2=1,'Cuota Parte'!E29,IF($E$2=2,'Cuota Parte'!E83,IF($E$2=3,'Cuota Parte'!E137,0)))</f>
        <v>-40</v>
      </c>
      <c r="F15" s="4">
        <f>IF($F$2=1,#REF!,IF($F$2=2,#REF!,IF($F$2=3,#REF!,0)))</f>
        <v>0</v>
      </c>
      <c r="G15" s="4">
        <f>IF($G$2=1,'Exceso Pérdida'!E117,IF($G$2=2,'Exceso Pérdida'!E68,IF($G$2=3,'Exceso Pérdida'!E19,0)))</f>
        <v>-500</v>
      </c>
      <c r="H15" s="28">
        <f>SUM(D15:G15)</f>
        <v>8060</v>
      </c>
      <c r="J15" s="28">
        <f>IF($E$2=1,'Cuota Parte'!G29+'Cuota Parte'!H29,IF($E$2=2,'Cuota Parte'!G83+'Cuota Parte'!H83,IF($E$2=3,'Cuota Parte'!G137+'Cuota Parte'!H137,0)))</f>
        <v>-50</v>
      </c>
      <c r="K15" s="28">
        <f>IF($G$2=1,'Exceso Pérdida'!G117+'Exceso Pérdida'!H117,IF($G$2=2,'Exceso Pérdida'!G68+'Exceso Pérdida'!H68,IF($G$2=3,'Exceso Pérdida'!G19+'Exceso Pérdida'!H19,0)))</f>
        <v>-750</v>
      </c>
      <c r="L15" s="28">
        <f>SUM(H15:K15)</f>
        <v>7260</v>
      </c>
      <c r="O15" s="28"/>
    </row>
    <row r="16" spans="2:15" ht="15.75" thickBot="1" x14ac:dyDescent="0.25">
      <c r="D16" s="5">
        <f>'Cuota Parte'!D30</f>
        <v>32050</v>
      </c>
      <c r="E16" s="29"/>
      <c r="F16" s="29"/>
      <c r="G16" s="29"/>
      <c r="H16" s="31">
        <f>H13+H15</f>
        <v>30870</v>
      </c>
      <c r="L16" s="31">
        <f>L13+L15</f>
        <v>30870</v>
      </c>
    </row>
    <row r="17" spans="2:12" x14ac:dyDescent="0.2">
      <c r="D17" s="4"/>
      <c r="E17" s="4"/>
    </row>
    <row r="18" spans="2:12" x14ac:dyDescent="0.2">
      <c r="B18" s="1" t="str">
        <f>'Cuota Parte'!B32</f>
        <v>Estado de Resultados</v>
      </c>
      <c r="D18" s="4"/>
    </row>
    <row r="19" spans="2:12" x14ac:dyDescent="0.2">
      <c r="B19" s="1" t="str">
        <f>'Cuota Parte'!B33</f>
        <v>Primas Brutas</v>
      </c>
      <c r="D19" s="4">
        <f>'Cuota Parte'!D33</f>
        <v>18800</v>
      </c>
      <c r="H19" s="28">
        <f t="shared" ref="H19:H28" si="1">SUM(D19:G19)</f>
        <v>18800</v>
      </c>
      <c r="L19" s="28">
        <f t="shared" ref="L19:L28" si="2">SUM(H19:K19)</f>
        <v>18800</v>
      </c>
    </row>
    <row r="20" spans="2:12" x14ac:dyDescent="0.2">
      <c r="B20" s="1" t="str">
        <f>'Cuota Parte'!B34</f>
        <v>Primas Cedidas</v>
      </c>
      <c r="D20" s="4"/>
      <c r="E20" s="4">
        <f>-IF($E$2=1,'Cuota Parte'!E34,IF($E$2=2,'Cuota Parte'!E88,IF($E$2=3,'Cuota Parte'!E142,0)))</f>
        <v>-800</v>
      </c>
      <c r="F20" s="4">
        <f>IF($F$2=1,#REF!,IF($F$2=2,#REF!,IF($F$2=3,#REF!,0)))</f>
        <v>0</v>
      </c>
      <c r="G20" s="4">
        <f>-IF($G$2=1,'Exceso Pérdida'!E122,IF($G$2=2,'Exceso Pérdida'!E73,IF($G$2=3,'Exceso Pérdida'!E24,0)))</f>
        <v>-500</v>
      </c>
      <c r="H20" s="28">
        <f t="shared" si="1"/>
        <v>-1300</v>
      </c>
      <c r="K20" s="28">
        <f>-IF($G$2=1,'Exceso Pérdida'!G122+'Exceso Pérdida'!H122,IF($G$2=2,'Exceso Pérdida'!G73+'Exceso Pérdida'!H73,IF($G$2=3,'Exceso Pérdida'!G24+'Exceso Pérdida'!H24,0)))</f>
        <v>0</v>
      </c>
      <c r="L20" s="28">
        <f t="shared" si="2"/>
        <v>-1300</v>
      </c>
    </row>
    <row r="21" spans="2:12" x14ac:dyDescent="0.2">
      <c r="B21" s="1" t="str">
        <f>'Cuota Parte'!B35</f>
        <v>Primas Netas</v>
      </c>
      <c r="D21" s="7">
        <f>'Cuota Parte'!D35</f>
        <v>18800</v>
      </c>
      <c r="E21" s="30"/>
      <c r="F21" s="30"/>
      <c r="G21" s="30"/>
      <c r="H21" s="7">
        <f>H19+H20</f>
        <v>17500</v>
      </c>
      <c r="L21" s="7">
        <f>L19+L20</f>
        <v>17500</v>
      </c>
    </row>
    <row r="22" spans="2:12" x14ac:dyDescent="0.2">
      <c r="B22" s="1" t="str">
        <f>'Cuota Parte'!B36</f>
        <v>Change  in UEP</v>
      </c>
      <c r="D22" s="4"/>
      <c r="H22" s="28">
        <f t="shared" si="1"/>
        <v>0</v>
      </c>
    </row>
    <row r="23" spans="2:12" x14ac:dyDescent="0.2">
      <c r="B23" s="1" t="str">
        <f>'Cuota Parte'!B37</f>
        <v>Primas devengadas</v>
      </c>
      <c r="D23" s="4">
        <f>'Cuota Parte'!D37</f>
        <v>18800</v>
      </c>
      <c r="H23" s="28">
        <f>H21-H22</f>
        <v>17500</v>
      </c>
      <c r="L23" s="28">
        <f>L21</f>
        <v>17500</v>
      </c>
    </row>
    <row r="24" spans="2:12" x14ac:dyDescent="0.2">
      <c r="B24" s="1" t="str">
        <f>'Cuota Parte'!B38</f>
        <v>Siniestros</v>
      </c>
      <c r="D24" s="4">
        <f>'Cuota Parte'!D38</f>
        <v>11750</v>
      </c>
      <c r="H24" s="28">
        <f t="shared" si="1"/>
        <v>11750</v>
      </c>
      <c r="J24" s="28">
        <f>IF($E$2=1,'Cuota Parte'!G38+'Cuota Parte'!H38,IF($E$2=2,'Cuota Parte'!G92+'Cuota Parte'!H92,IF($E$2=3,'Cuota Parte'!G146+'Cuota Parte'!H146,0)))</f>
        <v>690</v>
      </c>
      <c r="K24" s="28">
        <f>IF($G$2=1,'Exceso Pérdida'!G126+'Exceso Pérdida'!H126,IF($G$2=2,'Exceso Pérdida'!G77+'Exceso Pérdida'!H77,IF($G$2=3,'Exceso Pérdida'!G28+'Exceso Pérdida'!H28,0)))</f>
        <v>750</v>
      </c>
      <c r="L24" s="28">
        <f t="shared" si="2"/>
        <v>13190</v>
      </c>
    </row>
    <row r="25" spans="2:12" x14ac:dyDescent="0.2">
      <c r="B25" s="1" t="str">
        <f>'Cuota Parte'!B39</f>
        <v>Gastos</v>
      </c>
      <c r="D25" s="4">
        <f>'Cuota Parte'!D39</f>
        <v>4000</v>
      </c>
      <c r="E25" s="4">
        <f>IF($E$2=1,'Cuota Parte'!E39,IF($E$2=2,'Cuota Parte'!E93,IF($E$2=3,'Cuota Parte'!E147,0)))</f>
        <v>-120</v>
      </c>
      <c r="F25" s="4">
        <f>IF($F$2=1,#REF!,IF($F$2=2,#REF!,IF($F$2=3,#REF!,0)))</f>
        <v>0</v>
      </c>
      <c r="G25" s="4">
        <f>IF($G$2=1,'Exceso Pérdida'!E128,IF($G$2=2,'Exceso Pérdida'!E78,IF($G$2=3,'Exceso Pérdida'!E29,0)))</f>
        <v>0</v>
      </c>
      <c r="H25" s="28">
        <f t="shared" si="1"/>
        <v>3880</v>
      </c>
      <c r="L25" s="28">
        <f t="shared" si="2"/>
        <v>3880</v>
      </c>
    </row>
    <row r="26" spans="2:12" x14ac:dyDescent="0.2">
      <c r="B26" s="1" t="str">
        <f>'Cuota Parte'!B40</f>
        <v>Ingreso por seguros</v>
      </c>
      <c r="D26" s="7">
        <f>'Cuota Parte'!D40</f>
        <v>3050</v>
      </c>
      <c r="E26" s="30"/>
      <c r="F26" s="30"/>
      <c r="G26" s="30"/>
      <c r="H26" s="32">
        <f>H23-H24-H25</f>
        <v>1870</v>
      </c>
      <c r="L26" s="32">
        <f>L23-L24-L25</f>
        <v>430</v>
      </c>
    </row>
    <row r="27" spans="2:12" x14ac:dyDescent="0.2">
      <c r="D27" s="4"/>
      <c r="H27" s="28">
        <f t="shared" si="1"/>
        <v>0</v>
      </c>
      <c r="L27" s="28">
        <f t="shared" si="2"/>
        <v>0</v>
      </c>
    </row>
    <row r="28" spans="2:12" x14ac:dyDescent="0.2">
      <c r="B28" s="1" t="str">
        <f>'Cuota Parte'!B42</f>
        <v>Ingreso por inversiones</v>
      </c>
      <c r="D28" s="4">
        <f>'Cuota Parte'!D42</f>
        <v>350</v>
      </c>
      <c r="E28" s="4">
        <f>IF($E$2=1,'Cuota Parte'!E42,IF($E$2=2,'Cuota Parte'!E96,IF($E$2=3,'Cuota Parte'!E150,0)))</f>
        <v>0</v>
      </c>
      <c r="F28" s="4">
        <f>IF($F$2=1,#REF!,IF($F$2=2,#REF!,IF($F$2=3,#REF!,0)))</f>
        <v>0</v>
      </c>
      <c r="G28" s="4">
        <f>IF($G$2=1,'Exceso Pérdida'!E131,IF($G$2=2,'Exceso Pérdida'!E81,IF($G$2=3,'Exceso Pérdida'!E32,0)))</f>
        <v>0</v>
      </c>
      <c r="H28" s="28">
        <f t="shared" si="1"/>
        <v>350</v>
      </c>
      <c r="L28" s="28">
        <f t="shared" si="2"/>
        <v>350</v>
      </c>
    </row>
    <row r="29" spans="2:12" ht="15.75" thickBot="1" x14ac:dyDescent="0.25">
      <c r="B29" s="1" t="str">
        <f>'Cuota Parte'!B43</f>
        <v>Ingreso Neto</v>
      </c>
      <c r="D29" s="5">
        <f>'Cuota Parte'!D43</f>
        <v>3400</v>
      </c>
      <c r="E29" s="29"/>
      <c r="F29" s="29"/>
      <c r="G29" s="29"/>
      <c r="H29" s="31">
        <f>H26+H28</f>
        <v>2220</v>
      </c>
      <c r="L29" s="31">
        <f>L26+L28</f>
        <v>780</v>
      </c>
    </row>
    <row r="32" spans="2:12" x14ac:dyDescent="0.2">
      <c r="B32" s="1" t="str">
        <f>'Cuota Parte'!B46</f>
        <v>Ratio de siniestralidad</v>
      </c>
      <c r="D32" s="8">
        <f>'Cuota Parte'!D46</f>
        <v>0.625</v>
      </c>
      <c r="H32" s="8">
        <f>H24/H23</f>
        <v>0.67142857142857137</v>
      </c>
      <c r="L32" s="8">
        <f>L24/L23</f>
        <v>0.75371428571428567</v>
      </c>
    </row>
    <row r="33" spans="2:12" x14ac:dyDescent="0.2">
      <c r="B33" s="1" t="str">
        <f>'Cuota Parte'!B47</f>
        <v>Ratio de gastos</v>
      </c>
      <c r="D33" s="8">
        <f>'Cuota Parte'!D47</f>
        <v>0.21276595744680851</v>
      </c>
      <c r="H33" s="8">
        <f>H25/H19</f>
        <v>0.20638297872340425</v>
      </c>
      <c r="L33" s="8">
        <f>L25/L19</f>
        <v>0.20638297872340425</v>
      </c>
    </row>
    <row r="34" spans="2:12" x14ac:dyDescent="0.2">
      <c r="B34" s="1" t="str">
        <f>'Cuota Parte'!B48</f>
        <v>Ratio combinado</v>
      </c>
      <c r="D34" s="8">
        <f>'Cuota Parte'!D48</f>
        <v>0.83776595744680848</v>
      </c>
      <c r="H34" s="8">
        <f>H32+H33</f>
        <v>0.87781155015197565</v>
      </c>
      <c r="L34" s="8">
        <f>L32+L33</f>
        <v>0.96009726443768995</v>
      </c>
    </row>
    <row r="35" spans="2:12" x14ac:dyDescent="0.2">
      <c r="D35" s="8"/>
      <c r="H35" s="8"/>
      <c r="L35" s="8"/>
    </row>
    <row r="36" spans="2:12" x14ac:dyDescent="0.2">
      <c r="B36" s="1" t="str">
        <f>'Cuota Parte'!B50</f>
        <v>Primas/patrimonio</v>
      </c>
      <c r="D36" s="8">
        <f>'Cuota Parte'!D50</f>
        <v>2.1860465116279069</v>
      </c>
      <c r="H36" s="8">
        <f>H21/H15</f>
        <v>2.1712158808933002</v>
      </c>
      <c r="L36" s="8">
        <f>L21/L15</f>
        <v>2.4104683195592287</v>
      </c>
    </row>
    <row r="37" spans="2:12" x14ac:dyDescent="0.2">
      <c r="B37" s="1" t="s">
        <v>11</v>
      </c>
      <c r="D37" s="8">
        <f>D29/D8</f>
        <v>0.10608424336973479</v>
      </c>
      <c r="H37" s="8">
        <f t="shared" ref="H37" si="3">H29/H8</f>
        <v>7.1914480077745382E-2</v>
      </c>
      <c r="L37" s="8">
        <f>L29/L8</f>
        <v>2.5267249757045675E-2</v>
      </c>
    </row>
    <row r="38" spans="2:12" x14ac:dyDescent="0.2">
      <c r="B38" s="1" t="s">
        <v>12</v>
      </c>
      <c r="D38" s="8">
        <f>D29/D15</f>
        <v>0.39534883720930231</v>
      </c>
      <c r="H38" s="8">
        <f t="shared" ref="H38" si="4">H29/H15</f>
        <v>0.27543424317617865</v>
      </c>
      <c r="L38" s="8">
        <f>L29/L15</f>
        <v>0.10743801652892562</v>
      </c>
    </row>
    <row r="40" spans="2:12" x14ac:dyDescent="0.2">
      <c r="B40" s="1" t="str">
        <f>'Cuota Parte'!B54</f>
        <v>Primas cedidas</v>
      </c>
      <c r="D40" s="8">
        <f>-D20/D19</f>
        <v>0</v>
      </c>
      <c r="H40" s="8">
        <f>-H20/H19</f>
        <v>6.9148936170212769E-2</v>
      </c>
      <c r="L40" s="8">
        <f>-L20/L19</f>
        <v>6.9148936170212769E-2</v>
      </c>
    </row>
  </sheetData>
  <pageMargins left="0.25" right="0.25" top="0.75" bottom="0.75" header="0.3" footer="0.3"/>
  <pageSetup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Q40"/>
  <sheetViews>
    <sheetView topLeftCell="A25" zoomScaleNormal="100" workbookViewId="0">
      <selection activeCell="B22" sqref="B22"/>
    </sheetView>
  </sheetViews>
  <sheetFormatPr baseColWidth="10" defaultColWidth="9.140625" defaultRowHeight="15" x14ac:dyDescent="0.2"/>
  <cols>
    <col min="1" max="1" width="9.140625" style="1"/>
    <col min="2" max="2" width="24.5703125" style="1" customWidth="1"/>
    <col min="3" max="3" width="12.85546875" style="1" bestFit="1" customWidth="1"/>
    <col min="4" max="7" width="10.7109375" style="1" customWidth="1"/>
    <col min="8" max="8" width="9.140625" style="1"/>
    <col min="9" max="12" width="10.7109375" style="1" customWidth="1"/>
    <col min="13" max="13" width="9.140625" style="1"/>
    <col min="14" max="14" width="9.7109375" style="1" bestFit="1" customWidth="1"/>
    <col min="15" max="15" width="10.42578125" style="1" bestFit="1" customWidth="1"/>
    <col min="16" max="16384" width="9.140625" style="1"/>
  </cols>
  <sheetData>
    <row r="3" spans="2:14" ht="15.75" customHeight="1" x14ac:dyDescent="0.25">
      <c r="C3" s="39" t="s">
        <v>89</v>
      </c>
      <c r="D3" s="52" t="s">
        <v>90</v>
      </c>
      <c r="E3" s="52"/>
      <c r="F3" s="52"/>
      <c r="G3" s="3" t="s">
        <v>91</v>
      </c>
      <c r="I3" s="52" t="s">
        <v>92</v>
      </c>
      <c r="J3" s="52"/>
      <c r="K3" s="52"/>
      <c r="L3" s="3" t="s">
        <v>91</v>
      </c>
    </row>
    <row r="4" spans="2:14" ht="15.75" x14ac:dyDescent="0.25">
      <c r="B4" s="2" t="s">
        <v>22</v>
      </c>
      <c r="D4" s="39" t="s">
        <v>7</v>
      </c>
      <c r="E4" s="39" t="s">
        <v>8</v>
      </c>
      <c r="F4" s="39" t="s">
        <v>9</v>
      </c>
      <c r="I4" s="39" t="s">
        <v>7</v>
      </c>
      <c r="J4" s="39" t="s">
        <v>8</v>
      </c>
      <c r="K4" s="39" t="s">
        <v>9</v>
      </c>
    </row>
    <row r="5" spans="2:14" ht="15" customHeight="1" x14ac:dyDescent="0.2">
      <c r="B5" s="1" t="s">
        <v>23</v>
      </c>
      <c r="C5" s="4"/>
    </row>
    <row r="6" spans="2:14" ht="15" customHeight="1" x14ac:dyDescent="0.2">
      <c r="B6" s="1" t="s">
        <v>24</v>
      </c>
      <c r="C6" s="4">
        <f>'Aseguradora A'!D6</f>
        <v>19800</v>
      </c>
      <c r="D6" s="4">
        <f>'Aseguradora A'!H6</f>
        <v>17793</v>
      </c>
      <c r="E6" s="4">
        <f>'Aseguradora B'!H6</f>
        <v>18132</v>
      </c>
      <c r="F6" s="4">
        <f>'Aseguradora C'!H6</f>
        <v>18620</v>
      </c>
      <c r="G6" s="4">
        <f>C6</f>
        <v>19800</v>
      </c>
      <c r="I6" s="4">
        <f>'Aseguradora A'!L6</f>
        <v>17793</v>
      </c>
      <c r="J6" s="4">
        <f>'Aseguradora B'!L6</f>
        <v>18042</v>
      </c>
      <c r="K6" s="4">
        <f>'Aseguradora C'!L6</f>
        <v>18620</v>
      </c>
      <c r="L6" s="4">
        <f>IF('Aseguradora A'!$E$2+'Aseguradora B'!$E$2+'Aseguradora C'!$E$2+'Aseguradora A'!$G$2+'Aseguradora B'!$G$2+'Aseguradora C'!$G$2=0,G6,IF('Aseguradora A'!$E$2+'Aseguradora B'!$E$2+'Aseguradora C'!$E$2=0,'Exceso Pérdida'!J9,IF('Aseguradora A'!$G$2+'Aseguradora B'!$G$2+'Aseguradora C'!$G$2=0,'Cuota Parte'!J19,'Cuota Parte'!D19-(('Cuota Parte'!D19-'Cuota Parte'!J19)+('Exceso Pérdida'!D9-'Exceso Pérdida'!J9)))))</f>
        <v>19800</v>
      </c>
    </row>
    <row r="7" spans="2:14" ht="15" customHeight="1" x14ac:dyDescent="0.2">
      <c r="B7" s="1" t="s">
        <v>25</v>
      </c>
      <c r="C7" s="4">
        <f>'Aseguradora A'!D7</f>
        <v>12250</v>
      </c>
      <c r="D7" s="4">
        <f>'Aseguradora A'!H7</f>
        <v>12250</v>
      </c>
      <c r="E7" s="4">
        <f>'Aseguradora B'!H7</f>
        <v>12250</v>
      </c>
      <c r="F7" s="4">
        <f>'Aseguradora C'!H7</f>
        <v>12250</v>
      </c>
      <c r="G7" s="4">
        <f>C7</f>
        <v>12250</v>
      </c>
      <c r="I7" s="4">
        <f>'Aseguradora A'!L7</f>
        <v>12250</v>
      </c>
      <c r="J7" s="4">
        <f>'Aseguradora B'!L7</f>
        <v>12250</v>
      </c>
      <c r="K7" s="4">
        <f>'Aseguradora C'!L7</f>
        <v>12250</v>
      </c>
      <c r="L7" s="4">
        <f>IF('Aseguradora A'!$E$2+'Aseguradora B'!$E$2+'Aseguradora C'!$E$2+'Aseguradora A'!$G$2+'Aseguradora B'!$G$2+'Aseguradora C'!$G$2=0,G7,IF('Aseguradora A'!$E$2+'Aseguradora B'!$E$2+'Aseguradora C'!$E$2=0,'Exceso Pérdida'!J10,IF('Aseguradora A'!$G$2+'Aseguradora B'!$G$2+'Aseguradora C'!$G$2=0,'Cuota Parte'!J20,'Cuota Parte'!D20-(('Cuota Parte'!D20-'Cuota Parte'!J20)+('Exceso Pérdida'!D10-'Exceso Pérdida'!J10)))))</f>
        <v>12250</v>
      </c>
    </row>
    <row r="8" spans="2:14" ht="15.75" thickBot="1" x14ac:dyDescent="0.25">
      <c r="C8" s="5">
        <f>'Aseguradora A'!D8</f>
        <v>32050</v>
      </c>
      <c r="D8" s="5">
        <f>'Aseguradora A'!H8</f>
        <v>30043</v>
      </c>
      <c r="E8" s="5">
        <f>'Aseguradora B'!H8</f>
        <v>30382</v>
      </c>
      <c r="F8" s="5">
        <f>'Aseguradora C'!H8</f>
        <v>30870</v>
      </c>
      <c r="G8" s="5">
        <f>C8</f>
        <v>32050</v>
      </c>
      <c r="I8" s="5">
        <f>'Aseguradora A'!L8</f>
        <v>30043</v>
      </c>
      <c r="J8" s="5">
        <f>'Aseguradora B'!L8</f>
        <v>30292</v>
      </c>
      <c r="K8" s="5">
        <f>'Aseguradora C'!L8</f>
        <v>30870</v>
      </c>
      <c r="L8" s="5">
        <f>IF('Aseguradora A'!$E$2+'Aseguradora B'!$E$2+'Aseguradora C'!$E$2+'Aseguradora A'!$G$2+'Aseguradora B'!$G$2+'Aseguradora C'!$G$2=0,G8,IF('Aseguradora A'!$E$2+'Aseguradora B'!$E$2+'Aseguradora C'!$E$2=0,'Exceso Pérdida'!J11,IF('Aseguradora A'!$G$2+'Aseguradora B'!$G$2+'Aseguradora C'!$G$2=0,'Cuota Parte'!J21,'Cuota Parte'!D21-(('Cuota Parte'!D21-'Cuota Parte'!J21)+('Exceso Pérdida'!D11-'Exceso Pérdida'!J11)))))</f>
        <v>32050</v>
      </c>
    </row>
    <row r="9" spans="2:14" x14ac:dyDescent="0.2">
      <c r="C9" s="4"/>
      <c r="D9" s="4"/>
      <c r="E9" s="4"/>
      <c r="F9" s="4"/>
      <c r="G9" s="4"/>
      <c r="I9" s="4"/>
      <c r="J9" s="4"/>
      <c r="K9" s="4"/>
      <c r="L9" s="4"/>
    </row>
    <row r="10" spans="2:14" x14ac:dyDescent="0.2">
      <c r="B10" s="1" t="s">
        <v>26</v>
      </c>
      <c r="C10" s="4"/>
      <c r="D10" s="4"/>
      <c r="E10" s="4"/>
      <c r="F10" s="4"/>
      <c r="G10" s="4"/>
      <c r="I10" s="4"/>
      <c r="J10" s="4"/>
      <c r="K10" s="4"/>
      <c r="L10" s="4"/>
    </row>
    <row r="11" spans="2:14" x14ac:dyDescent="0.2">
      <c r="B11" s="1" t="s">
        <v>27</v>
      </c>
      <c r="C11" s="4">
        <f>'Aseguradora A'!D11</f>
        <v>23450</v>
      </c>
      <c r="D11" s="4">
        <f>'Aseguradora A'!H11</f>
        <v>22234</v>
      </c>
      <c r="E11" s="4">
        <f>'Aseguradora B'!H11</f>
        <v>22426</v>
      </c>
      <c r="F11" s="4">
        <f>'Aseguradora C'!H11</f>
        <v>22810</v>
      </c>
      <c r="G11" s="4">
        <f>C11</f>
        <v>23450</v>
      </c>
      <c r="I11" s="4">
        <f>'Aseguradora A'!L11</f>
        <v>22439</v>
      </c>
      <c r="J11" s="4">
        <f>'Aseguradora B'!L11</f>
        <v>22846</v>
      </c>
      <c r="K11" s="4">
        <f>'Aseguradora C'!L11</f>
        <v>23610</v>
      </c>
      <c r="L11" s="4">
        <f>IF('Aseguradora A'!$E$2+'Aseguradora B'!$E$2+'Aseguradora C'!$E$2+'Aseguradora A'!$G$2+'Aseguradora B'!$G$2+'Aseguradora C'!$G$2=0,G11,IF('Aseguradora A'!$E$2+'Aseguradora B'!$E$2+'Aseguradora C'!$E$2=0,'Exceso Pérdida'!J14,IF('Aseguradora A'!$G$2+'Aseguradora B'!$G$2+'Aseguradora C'!$G$2=0,'Cuota Parte'!J24,'Cuota Parte'!D24-(('Cuota Parte'!D24-'Cuota Parte'!J24)+('Exceso Pérdida'!D14-'Exceso Pérdida'!J14)))))</f>
        <v>28300</v>
      </c>
      <c r="N11" s="28"/>
    </row>
    <row r="12" spans="2:14" x14ac:dyDescent="0.2">
      <c r="B12" s="1" t="s">
        <v>28</v>
      </c>
      <c r="C12" s="4">
        <f>'Aseguradora A'!D12</f>
        <v>0</v>
      </c>
      <c r="D12" s="4">
        <f>'Aseguradora A'!H12</f>
        <v>0</v>
      </c>
      <c r="E12" s="4">
        <f>'Aseguradora B'!H12</f>
        <v>0</v>
      </c>
      <c r="F12" s="4">
        <f>'Aseguradora C'!H12</f>
        <v>0</v>
      </c>
      <c r="G12" s="4">
        <f>C12</f>
        <v>0</v>
      </c>
      <c r="I12" s="4">
        <f>'Aseguradora A'!L12</f>
        <v>0</v>
      </c>
      <c r="J12" s="4">
        <f>'Aseguradora B'!L12</f>
        <v>0</v>
      </c>
      <c r="K12" s="4">
        <f>'Aseguradora C'!L12</f>
        <v>0</v>
      </c>
      <c r="L12" s="4">
        <v>0</v>
      </c>
    </row>
    <row r="13" spans="2:14" x14ac:dyDescent="0.2">
      <c r="B13" s="1" t="s">
        <v>29</v>
      </c>
      <c r="C13" s="7">
        <f>'Aseguradora A'!D13</f>
        <v>23450</v>
      </c>
      <c r="D13" s="7">
        <f>'Aseguradora A'!H13</f>
        <v>22234</v>
      </c>
      <c r="E13" s="7">
        <f>'Aseguradora B'!H13</f>
        <v>22426</v>
      </c>
      <c r="F13" s="7">
        <f>'Aseguradora C'!H13</f>
        <v>22810</v>
      </c>
      <c r="G13" s="7">
        <f>C13</f>
        <v>23450</v>
      </c>
      <c r="I13" s="7">
        <f>'Aseguradora A'!L13</f>
        <v>22439</v>
      </c>
      <c r="J13" s="7">
        <f>'Aseguradora B'!L13</f>
        <v>22846</v>
      </c>
      <c r="K13" s="7">
        <f>'Aseguradora C'!L13</f>
        <v>23610</v>
      </c>
      <c r="L13" s="7">
        <f>IF('Aseguradora A'!$E$2+'Aseguradora B'!$E$2+'Aseguradora C'!$E$2+'Aseguradora A'!$G$2+'Aseguradora B'!$G$2+'Aseguradora C'!$G$2=0,G13,IF('Aseguradora A'!$E$2+'Aseguradora B'!$E$2+'Aseguradora C'!$E$2=0,'Exceso Pérdida'!J17,IF('Aseguradora A'!$G$2+'Aseguradora B'!$G$2+'Aseguradora C'!$G$2=0,'Cuota Parte'!J27,'Cuota Parte'!D27-(('Cuota Parte'!D27-'Cuota Parte'!J27)+('Exceso Pérdida'!D17-'Exceso Pérdida'!J17)))))</f>
        <v>28300</v>
      </c>
    </row>
    <row r="14" spans="2:14" x14ac:dyDescent="0.2">
      <c r="C14" s="4"/>
      <c r="D14" s="4"/>
      <c r="E14" s="4"/>
      <c r="F14" s="4"/>
      <c r="G14" s="4"/>
      <c r="I14" s="4"/>
      <c r="J14" s="4"/>
      <c r="K14" s="4"/>
      <c r="L14" s="4"/>
    </row>
    <row r="15" spans="2:14" x14ac:dyDescent="0.2">
      <c r="C15" s="4">
        <f>'Aseguradora A'!D15</f>
        <v>8600</v>
      </c>
      <c r="D15" s="4">
        <f>'Aseguradora A'!H15</f>
        <v>7809</v>
      </c>
      <c r="E15" s="4">
        <f>'Aseguradora B'!H15</f>
        <v>7956</v>
      </c>
      <c r="F15" s="4">
        <f>'Aseguradora C'!H15</f>
        <v>8060</v>
      </c>
      <c r="G15" s="4">
        <f>C15</f>
        <v>8600</v>
      </c>
      <c r="I15" s="4">
        <f>'Aseguradora A'!L15</f>
        <v>7604</v>
      </c>
      <c r="J15" s="4">
        <f>'Aseguradora B'!L15</f>
        <v>7446</v>
      </c>
      <c r="K15" s="4">
        <f>'Aseguradora C'!L15</f>
        <v>7260</v>
      </c>
      <c r="L15" s="4">
        <f>IF('Aseguradora A'!$E$2+'Aseguradora B'!$E$2+'Aseguradora C'!$E$2+'Aseguradora A'!$G$2+'Aseguradora B'!$G$2+'Aseguradora C'!$G$2=0,G15,IF('Aseguradora A'!$E$2+'Aseguradora B'!$E$2+'Aseguradora C'!$E$2=0,'Exceso Pérdida'!J19,IF('Aseguradora A'!$G$2+'Aseguradora B'!$G$2+'Aseguradora C'!$G$2=0,'Cuota Parte'!J29,'Cuota Parte'!D29-(('Cuota Parte'!D29-'Cuota Parte'!J29)+('Exceso Pérdida'!D19-'Exceso Pérdida'!J19)))))</f>
        <v>3750</v>
      </c>
      <c r="N15" s="28"/>
    </row>
    <row r="16" spans="2:14" ht="15.75" thickBot="1" x14ac:dyDescent="0.25">
      <c r="B16" s="1" t="s">
        <v>30</v>
      </c>
      <c r="C16" s="5">
        <f>'Aseguradora A'!D16</f>
        <v>32050</v>
      </c>
      <c r="D16" s="5">
        <f>'Aseguradora A'!H16</f>
        <v>30043</v>
      </c>
      <c r="E16" s="5">
        <f>'Aseguradora B'!H16</f>
        <v>30382</v>
      </c>
      <c r="F16" s="5">
        <f>'Aseguradora C'!H16</f>
        <v>30870</v>
      </c>
      <c r="G16" s="5">
        <f>C16</f>
        <v>32050</v>
      </c>
      <c r="I16" s="5">
        <f>'Aseguradora A'!L16</f>
        <v>30043</v>
      </c>
      <c r="J16" s="5">
        <f>'Aseguradora B'!L16</f>
        <v>30292</v>
      </c>
      <c r="K16" s="5">
        <f>'Aseguradora C'!L16</f>
        <v>30870</v>
      </c>
      <c r="L16" s="5">
        <f>IF('Aseguradora A'!$E$2+'Aseguradora B'!$E$2+'Aseguradora C'!$E$2+'Aseguradora A'!$G$2+'Aseguradora B'!$G$2+'Aseguradora C'!$G$2=0,G16,IF('Aseguradora A'!$E$2+'Aseguradora B'!$E$2+'Aseguradora C'!$E$2=0,'Exceso Pérdida'!J20,IF('Aseguradora A'!$G$2+'Aseguradora B'!$G$2+'Aseguradora C'!$G$2=0,'Cuota Parte'!J30,'Cuota Parte'!D30-(('Cuota Parte'!D30-'Cuota Parte'!J30)+('Exceso Pérdida'!D20-'Exceso Pérdida'!J20)))))</f>
        <v>32050</v>
      </c>
    </row>
    <row r="17" spans="2:17" x14ac:dyDescent="0.2">
      <c r="C17" s="4"/>
      <c r="D17" s="4"/>
      <c r="E17" s="4"/>
      <c r="F17" s="4"/>
    </row>
    <row r="18" spans="2:17" ht="15.75" x14ac:dyDescent="0.2">
      <c r="B18" s="46" t="s">
        <v>33</v>
      </c>
      <c r="C18" s="4"/>
      <c r="D18" s="4"/>
      <c r="E18" s="4"/>
      <c r="F18" s="4"/>
    </row>
    <row r="19" spans="2:17" x14ac:dyDescent="0.2">
      <c r="B19" s="47" t="s">
        <v>34</v>
      </c>
      <c r="C19" s="4">
        <f>'Aseguradora A'!D19</f>
        <v>18800</v>
      </c>
      <c r="D19" s="4">
        <f>'Aseguradora A'!H19</f>
        <v>18800</v>
      </c>
      <c r="E19" s="4">
        <f>'Aseguradora B'!H19</f>
        <v>18800</v>
      </c>
      <c r="F19" s="4">
        <f>'Aseguradora C'!H19</f>
        <v>18800</v>
      </c>
      <c r="G19" s="4">
        <f t="shared" ref="G19:G26" si="0">C19</f>
        <v>18800</v>
      </c>
      <c r="I19" s="4">
        <f>'Aseguradora A'!L19</f>
        <v>18800</v>
      </c>
      <c r="J19" s="4">
        <f>'Aseguradora B'!L19</f>
        <v>18800</v>
      </c>
      <c r="K19" s="4">
        <f>'Aseguradora C'!L19</f>
        <v>18800</v>
      </c>
      <c r="L19" s="4">
        <f>IF('Aseguradora A'!$E$2+'Aseguradora B'!$E$2+'Aseguradora C'!$E$2+'Aseguradora A'!$G$2+'Aseguradora B'!$G$2+'Aseguradora C'!$G$2=0,G19,IF('Aseguradora A'!$E$2+'Aseguradora B'!$E$2+'Aseguradora C'!$E$2=0,'Exceso Pérdida'!J23,IF('Aseguradora A'!$G$2+'Aseguradora B'!$G$2+'Aseguradora C'!$G$2=0,'Cuota Parte'!J33,'Cuota Parte'!D33-(('Cuota Parte'!D33-'Cuota Parte'!J33)+('Exceso Pérdida'!D23-'Exceso Pérdida'!J23)))))</f>
        <v>18800</v>
      </c>
    </row>
    <row r="20" spans="2:17" x14ac:dyDescent="0.2">
      <c r="B20" s="47" t="s">
        <v>35</v>
      </c>
      <c r="C20" s="4">
        <f>'Aseguradora A'!D20</f>
        <v>0</v>
      </c>
      <c r="D20" s="4">
        <f>'Aseguradora A'!H20</f>
        <v>-2235</v>
      </c>
      <c r="E20" s="4">
        <f>'Aseguradora B'!H20</f>
        <v>-1860</v>
      </c>
      <c r="F20" s="4">
        <f>'Aseguradora C'!H20</f>
        <v>-1300</v>
      </c>
      <c r="G20" s="4">
        <f t="shared" si="0"/>
        <v>0</v>
      </c>
      <c r="I20" s="4">
        <f>'Aseguradora A'!L20</f>
        <v>-2235</v>
      </c>
      <c r="J20" s="4">
        <f>'Aseguradora B'!L20</f>
        <v>-1950</v>
      </c>
      <c r="K20" s="4">
        <f>'Aseguradora C'!L20</f>
        <v>-1300</v>
      </c>
      <c r="L20" s="4">
        <f>IF('Aseguradora A'!$E$2+'Aseguradora B'!$E$2+'Aseguradora C'!$E$2+'Aseguradora A'!$G$2+'Aseguradora B'!$G$2+'Aseguradora C'!$G$2=0,G20,IF('Aseguradora A'!$E$2+'Aseguradora B'!$E$2+'Aseguradora C'!$E$2=0,'Exceso Pérdida'!J24,IF('Aseguradora A'!$G$2+'Aseguradora B'!$G$2+'Aseguradora C'!$G$2=0,'Cuota Parte'!J34,'Cuota Parte'!D34-(('Cuota Parte'!D34-'Cuota Parte'!J34)+('Exceso Pérdida'!D24-'Exceso Pérdida'!J24)))))</f>
        <v>0</v>
      </c>
      <c r="O20" s="28"/>
      <c r="P20" s="28"/>
      <c r="Q20" s="28"/>
    </row>
    <row r="21" spans="2:17" x14ac:dyDescent="0.2">
      <c r="B21" s="47" t="s">
        <v>36</v>
      </c>
      <c r="C21" s="7">
        <f>'Aseguradora A'!D21</f>
        <v>18800</v>
      </c>
      <c r="D21" s="7">
        <f>'Aseguradora A'!H21</f>
        <v>16565</v>
      </c>
      <c r="E21" s="7">
        <f>'Aseguradora B'!H21</f>
        <v>16940</v>
      </c>
      <c r="F21" s="7">
        <f>'Aseguradora C'!H21</f>
        <v>17500</v>
      </c>
      <c r="G21" s="7">
        <f t="shared" si="0"/>
        <v>18800</v>
      </c>
      <c r="I21" s="7">
        <f>'Aseguradora A'!L21</f>
        <v>16565</v>
      </c>
      <c r="J21" s="7">
        <f>'Aseguradora B'!L21</f>
        <v>16850</v>
      </c>
      <c r="K21" s="7">
        <f>'Aseguradora C'!L21</f>
        <v>17500</v>
      </c>
      <c r="L21" s="7">
        <f>IF('Aseguradora A'!$E$2+'Aseguradora B'!$E$2+'Aseguradora C'!$E$2+'Aseguradora A'!$G$2+'Aseguradora B'!$G$2+'Aseguradora C'!$G$2=0,G21,IF('Aseguradora A'!$E$2+'Aseguradora B'!$E$2+'Aseguradora C'!$E$2=0,'Exceso Pérdida'!J25,IF('Aseguradora A'!$G$2+'Aseguradora B'!$G$2+'Aseguradora C'!$G$2=0,'Cuota Parte'!J35,'Cuota Parte'!D35-(('Cuota Parte'!D35-'Cuota Parte'!J35)+('Exceso Pérdida'!D25-'Exceso Pérdida'!J25)))))</f>
        <v>18800</v>
      </c>
    </row>
    <row r="22" spans="2:17" x14ac:dyDescent="0.2">
      <c r="B22" s="1" t="s">
        <v>3</v>
      </c>
      <c r="C22" s="4">
        <f>'[1]Insurer A'!D22</f>
        <v>0</v>
      </c>
      <c r="D22" s="4">
        <f>'Aseguradora A'!H22</f>
        <v>0</v>
      </c>
      <c r="E22" s="4">
        <f>'Aseguradora B'!H22</f>
        <v>0</v>
      </c>
      <c r="F22" s="4">
        <f>'Aseguradora C'!H22</f>
        <v>0</v>
      </c>
      <c r="G22" s="4">
        <f t="shared" si="0"/>
        <v>0</v>
      </c>
      <c r="I22" s="4">
        <f>'Aseguradora A'!L22</f>
        <v>0</v>
      </c>
      <c r="J22" s="4">
        <f>'Aseguradora B'!L22</f>
        <v>0</v>
      </c>
      <c r="K22" s="4">
        <f>'Aseguradora C'!L22</f>
        <v>0</v>
      </c>
      <c r="L22" s="4">
        <f>IF('Aseguradora A'!$E$2+'Aseguradora B'!$E$2+'Aseguradora C'!$E$2+'Aseguradora A'!$G$2+'Aseguradora B'!$G$2+'Aseguradora C'!$G$2=0,G22,G22-(D22-I22)-(E22-J22)-(F22-K22))</f>
        <v>0</v>
      </c>
    </row>
    <row r="23" spans="2:17" x14ac:dyDescent="0.2">
      <c r="B23" s="1" t="s">
        <v>37</v>
      </c>
      <c r="C23" s="4">
        <f>'Aseguradora A'!D23</f>
        <v>18800</v>
      </c>
      <c r="D23" s="4">
        <f>'Aseguradora A'!H23</f>
        <v>16565</v>
      </c>
      <c r="E23" s="4">
        <f>'Aseguradora B'!H23</f>
        <v>16940</v>
      </c>
      <c r="F23" s="4">
        <f>'Aseguradora C'!H23</f>
        <v>17500</v>
      </c>
      <c r="G23" s="4">
        <f t="shared" si="0"/>
        <v>18800</v>
      </c>
      <c r="I23" s="4">
        <f>'Aseguradora A'!L23</f>
        <v>16565</v>
      </c>
      <c r="J23" s="4">
        <f>'Aseguradora B'!L23</f>
        <v>16850</v>
      </c>
      <c r="K23" s="4">
        <f>'Aseguradora C'!L23</f>
        <v>17500</v>
      </c>
      <c r="L23" s="4">
        <f>IF('Aseguradora A'!$E$2+'Aseguradora B'!$E$2+'Aseguradora C'!$E$2+'Aseguradora A'!$G$2+'Aseguradora B'!$G$2+'Aseguradora C'!$G$2=0,G23,IF('Aseguradora A'!$E$2+'Aseguradora B'!$E$2+'Aseguradora C'!$E$2=0,'Exceso Pérdida'!J27,IF('Aseguradora A'!$G$2+'Aseguradora B'!$G$2+'Aseguradora C'!$G$2=0,'Cuota Parte'!J37,'Cuota Parte'!D37-(('Cuota Parte'!D37-'Cuota Parte'!J37)+('Exceso Pérdida'!D27-'Exceso Pérdida'!J27)))))</f>
        <v>18800</v>
      </c>
      <c r="O23" s="28"/>
    </row>
    <row r="24" spans="2:17" x14ac:dyDescent="0.2">
      <c r="B24" s="1" t="s">
        <v>38</v>
      </c>
      <c r="C24" s="4">
        <f>'Aseguradora A'!D24</f>
        <v>11750</v>
      </c>
      <c r="D24" s="4">
        <f>'Aseguradora A'!H24</f>
        <v>11750</v>
      </c>
      <c r="E24" s="4">
        <f>'Aseguradora B'!H24</f>
        <v>11750</v>
      </c>
      <c r="F24" s="4">
        <f>'Aseguradora C'!H24</f>
        <v>11750</v>
      </c>
      <c r="G24" s="4">
        <f t="shared" si="0"/>
        <v>11750</v>
      </c>
      <c r="I24" s="4">
        <f>'Aseguradora A'!L24</f>
        <v>12019</v>
      </c>
      <c r="J24" s="4">
        <f>'Aseguradora B'!L24</f>
        <v>12426</v>
      </c>
      <c r="K24" s="4">
        <f>'Aseguradora C'!L24</f>
        <v>13190</v>
      </c>
      <c r="L24" s="4">
        <f>IF('Aseguradora A'!$E$2+'Aseguradora B'!$E$2+'Aseguradora C'!$E$2+'Aseguradora A'!$G$2+'Aseguradora B'!$G$2+'Aseguradora C'!$G$2=0,G24,IF('Aseguradora A'!$E$2+'Aseguradora B'!$E$2+'Aseguradora C'!$E$2=0,'Exceso Pérdida'!J28,IF('Aseguradora A'!$G$2+'Aseguradora B'!$G$2+'Aseguradora C'!$G$2=0,'Cuota Parte'!J38,'Cuota Parte'!D38-(('Cuota Parte'!D38-'Cuota Parte'!J38)+('Exceso Pérdida'!D28-'Exceso Pérdida'!J28)))))</f>
        <v>17880</v>
      </c>
      <c r="N24" s="28"/>
      <c r="O24" s="28"/>
    </row>
    <row r="25" spans="2:17" x14ac:dyDescent="0.2">
      <c r="B25" s="1" t="s">
        <v>39</v>
      </c>
      <c r="C25" s="4">
        <f>'Aseguradora A'!D25</f>
        <v>4000</v>
      </c>
      <c r="D25" s="4">
        <f>'Aseguradora A'!H25</f>
        <v>3772</v>
      </c>
      <c r="E25" s="4">
        <f>'Aseguradora B'!H25</f>
        <v>3808</v>
      </c>
      <c r="F25" s="4">
        <f>'Aseguradora C'!H25</f>
        <v>3880</v>
      </c>
      <c r="G25" s="4">
        <f t="shared" si="0"/>
        <v>4000</v>
      </c>
      <c r="I25" s="4">
        <f>'Aseguradora A'!L25</f>
        <v>3772</v>
      </c>
      <c r="J25" s="4">
        <f>'Aseguradora B'!L25</f>
        <v>3808</v>
      </c>
      <c r="K25" s="4">
        <f>'Aseguradora C'!L25</f>
        <v>3880</v>
      </c>
      <c r="L25" s="4">
        <f>IF('Aseguradora A'!$E$2+'Aseguradora B'!$E$2+'Aseguradora C'!$E$2+'Aseguradora A'!$G$2+'Aseguradora B'!$G$2+'Aseguradora C'!$G$2=0,G25,IF('Aseguradora A'!$E$2+'Aseguradora B'!$E$2+'Aseguradora C'!$E$2=0,'Exceso Pérdida'!J29,IF('Aseguradora A'!$G$2+'Aseguradora B'!$G$2+'Aseguradora C'!$G$2=0,'Cuota Parte'!J39,'Cuota Parte'!D39-(('Cuota Parte'!D39-'Cuota Parte'!J39)+('Exceso Pérdida'!D29-'Exceso Pérdida'!J29)))))</f>
        <v>4000</v>
      </c>
    </row>
    <row r="26" spans="2:17" x14ac:dyDescent="0.2">
      <c r="B26" s="1" t="s">
        <v>40</v>
      </c>
      <c r="C26" s="7">
        <f>'Aseguradora A'!D26</f>
        <v>3050</v>
      </c>
      <c r="D26" s="7">
        <f>'Aseguradora A'!H26</f>
        <v>1043</v>
      </c>
      <c r="E26" s="7">
        <f>'Aseguradora B'!H26</f>
        <v>1382</v>
      </c>
      <c r="F26" s="7">
        <f>'Aseguradora C'!H26</f>
        <v>1870</v>
      </c>
      <c r="G26" s="7">
        <f t="shared" si="0"/>
        <v>3050</v>
      </c>
      <c r="I26" s="7">
        <f t="shared" ref="I26:K26" si="1">I23-I24-I25</f>
        <v>774</v>
      </c>
      <c r="J26" s="7">
        <f t="shared" si="1"/>
        <v>616</v>
      </c>
      <c r="K26" s="7">
        <f t="shared" si="1"/>
        <v>430</v>
      </c>
      <c r="L26" s="7">
        <f>IF('Aseguradora A'!$E$2+'Aseguradora B'!$E$2+'Aseguradora C'!$E$2+'Aseguradora A'!$G$2+'Aseguradora B'!$G$2+'Aseguradora C'!$G$2=0,G26,IF('Aseguradora A'!$E$2+'Aseguradora B'!$E$2+'Aseguradora C'!$E$2=0,'Exceso Pérdida'!J30,IF('Aseguradora A'!$G$2+'Aseguradora B'!$G$2+'Aseguradora C'!$G$2=0,'Cuota Parte'!J40,'Cuota Parte'!D40-(('Cuota Parte'!D40-'Cuota Parte'!J40)+('Exceso Pérdida'!D30-'Exceso Pérdida'!J30)))))</f>
        <v>-3080</v>
      </c>
    </row>
    <row r="27" spans="2:17" x14ac:dyDescent="0.2">
      <c r="C27" s="4"/>
      <c r="D27" s="4"/>
      <c r="E27" s="4"/>
      <c r="F27" s="4"/>
    </row>
    <row r="28" spans="2:17" x14ac:dyDescent="0.2">
      <c r="B28" s="47" t="s">
        <v>41</v>
      </c>
      <c r="C28" s="4">
        <f>'Aseguradora A'!D28</f>
        <v>350</v>
      </c>
      <c r="D28" s="4">
        <f>'Aseguradora A'!H28</f>
        <v>350</v>
      </c>
      <c r="E28" s="4">
        <f>'Aseguradora B'!H28</f>
        <v>350</v>
      </c>
      <c r="F28" s="4">
        <f>'Aseguradora C'!H28</f>
        <v>350</v>
      </c>
      <c r="G28" s="4">
        <f>C28</f>
        <v>350</v>
      </c>
      <c r="I28" s="4">
        <f>'Aseguradora A'!L28</f>
        <v>350</v>
      </c>
      <c r="J28" s="4">
        <f>'Aseguradora B'!L28</f>
        <v>350</v>
      </c>
      <c r="K28" s="4">
        <f>'Aseguradora C'!L28</f>
        <v>350</v>
      </c>
      <c r="L28" s="4">
        <f>IF('Aseguradora A'!$E$2+'Aseguradora B'!$E$2+'Aseguradora C'!$E$2+'Aseguradora A'!$G$2+'Aseguradora B'!$G$2+'Aseguradora C'!$G$2=0,G28,IF('Aseguradora A'!$E$2+'Aseguradora B'!$E$2+'Aseguradora C'!$E$2=0,'Exceso Pérdida'!J32,IF('Aseguradora A'!$G$2+'Aseguradora B'!$G$2+'Aseguradora C'!$G$2=0,'Cuota Parte'!J42,'Cuota Parte'!D42-(('Cuota Parte'!D42-'Cuota Parte'!J42)+('Exceso Pérdida'!D32-'Exceso Pérdida'!J32)))))</f>
        <v>350</v>
      </c>
    </row>
    <row r="29" spans="2:17" ht="15.75" thickBot="1" x14ac:dyDescent="0.25">
      <c r="B29" s="47" t="s">
        <v>42</v>
      </c>
      <c r="C29" s="5">
        <f>'Aseguradora A'!D29</f>
        <v>3400</v>
      </c>
      <c r="D29" s="5">
        <f>'Aseguradora A'!H29</f>
        <v>1393</v>
      </c>
      <c r="E29" s="5">
        <f>'Aseguradora B'!H29</f>
        <v>1732</v>
      </c>
      <c r="F29" s="5">
        <f>'Aseguradora C'!H29</f>
        <v>2220</v>
      </c>
      <c r="G29" s="5">
        <f>C29</f>
        <v>3400</v>
      </c>
      <c r="I29" s="5">
        <f>'Aseguradora A'!L29</f>
        <v>1124</v>
      </c>
      <c r="J29" s="5">
        <f>'Aseguradora B'!L29</f>
        <v>966</v>
      </c>
      <c r="K29" s="5">
        <f>'Aseguradora C'!L29</f>
        <v>780</v>
      </c>
      <c r="L29" s="5">
        <f>IF('Aseguradora A'!$E$2+'Aseguradora B'!$E$2+'Aseguradora C'!$E$2+'Aseguradora A'!$G$2+'Aseguradora B'!$G$2+'Aseguradora C'!$G$2=0,G29,IF('Aseguradora A'!$E$2+'Aseguradora B'!$E$2+'Aseguradora C'!$E$2=0,'Exceso Pérdida'!J33,IF('Aseguradora A'!$G$2+'Aseguradora B'!$G$2+'Aseguradora C'!$G$2=0,'Cuota Parte'!J43,'Cuota Parte'!D43-(('Cuota Parte'!D43-'Cuota Parte'!J43)+('Exceso Pérdida'!D33-'Exceso Pérdida'!J33)))))</f>
        <v>-2730</v>
      </c>
    </row>
    <row r="30" spans="2:17" x14ac:dyDescent="0.2">
      <c r="L30" s="4"/>
    </row>
    <row r="32" spans="2:17" x14ac:dyDescent="0.2">
      <c r="B32" s="47" t="s">
        <v>20</v>
      </c>
      <c r="C32" s="8">
        <f>C24/C23</f>
        <v>0.625</v>
      </c>
      <c r="D32" s="8">
        <f t="shared" ref="D32:G32" si="2">D24/D23</f>
        <v>0.70932689405372773</v>
      </c>
      <c r="E32" s="8">
        <f t="shared" si="2"/>
        <v>0.69362455726092087</v>
      </c>
      <c r="F32" s="8">
        <f t="shared" si="2"/>
        <v>0.67142857142857137</v>
      </c>
      <c r="G32" s="8">
        <f t="shared" si="2"/>
        <v>0.625</v>
      </c>
      <c r="I32" s="8">
        <f t="shared" ref="I32:L32" si="3">I24/I23</f>
        <v>0.72556595230908538</v>
      </c>
      <c r="J32" s="8">
        <f t="shared" si="3"/>
        <v>0.73744807121661726</v>
      </c>
      <c r="K32" s="8">
        <f t="shared" si="3"/>
        <v>0.75371428571428567</v>
      </c>
      <c r="L32" s="8">
        <f t="shared" si="3"/>
        <v>0.95106382978723403</v>
      </c>
    </row>
    <row r="33" spans="2:12" x14ac:dyDescent="0.2">
      <c r="B33" s="47" t="s">
        <v>43</v>
      </c>
      <c r="C33" s="8">
        <f>C25/C19</f>
        <v>0.21276595744680851</v>
      </c>
      <c r="D33" s="8">
        <f t="shared" ref="D33:G33" si="4">D25/D19</f>
        <v>0.20063829787234042</v>
      </c>
      <c r="E33" s="8">
        <f t="shared" si="4"/>
        <v>0.20255319148936171</v>
      </c>
      <c r="F33" s="8">
        <f t="shared" si="4"/>
        <v>0.20638297872340425</v>
      </c>
      <c r="G33" s="8">
        <f t="shared" si="4"/>
        <v>0.21276595744680851</v>
      </c>
      <c r="I33" s="8">
        <f t="shared" ref="I33:L33" si="5">I25/I19</f>
        <v>0.20063829787234042</v>
      </c>
      <c r="J33" s="8">
        <f t="shared" si="5"/>
        <v>0.20255319148936171</v>
      </c>
      <c r="K33" s="8">
        <f t="shared" si="5"/>
        <v>0.20638297872340425</v>
      </c>
      <c r="L33" s="8">
        <f t="shared" si="5"/>
        <v>0.21276595744680851</v>
      </c>
    </row>
    <row r="34" spans="2:12" x14ac:dyDescent="0.2">
      <c r="B34" s="47" t="s">
        <v>44</v>
      </c>
      <c r="C34" s="8">
        <f>C32+C33</f>
        <v>0.83776595744680848</v>
      </c>
      <c r="D34" s="8">
        <f t="shared" ref="D34:G34" si="6">D32+D33</f>
        <v>0.90996519192606817</v>
      </c>
      <c r="E34" s="8">
        <f t="shared" si="6"/>
        <v>0.89617774875028255</v>
      </c>
      <c r="F34" s="8">
        <f t="shared" si="6"/>
        <v>0.87781155015197565</v>
      </c>
      <c r="G34" s="8">
        <f t="shared" si="6"/>
        <v>0.83776595744680848</v>
      </c>
      <c r="I34" s="8">
        <f t="shared" ref="I34:L34" si="7">I32+I33</f>
        <v>0.92620425018142583</v>
      </c>
      <c r="J34" s="8">
        <f t="shared" si="7"/>
        <v>0.94000126270597895</v>
      </c>
      <c r="K34" s="8">
        <f t="shared" si="7"/>
        <v>0.96009726443768995</v>
      </c>
      <c r="L34" s="8">
        <f t="shared" si="7"/>
        <v>1.1638297872340426</v>
      </c>
    </row>
    <row r="35" spans="2:12" x14ac:dyDescent="0.2">
      <c r="C35" s="4"/>
      <c r="D35" s="4"/>
      <c r="E35" s="4"/>
      <c r="F35" s="4"/>
      <c r="G35" s="4"/>
      <c r="I35" s="4"/>
      <c r="J35" s="4"/>
      <c r="K35" s="4"/>
      <c r="L35" s="4"/>
    </row>
    <row r="36" spans="2:12" x14ac:dyDescent="0.2">
      <c r="B36" s="47" t="s">
        <v>45</v>
      </c>
      <c r="C36" s="8">
        <f>C21/C15</f>
        <v>2.1860465116279069</v>
      </c>
      <c r="D36" s="8">
        <f t="shared" ref="D36:G36" si="8">D21/D15</f>
        <v>2.12127032910744</v>
      </c>
      <c r="E36" s="8">
        <f t="shared" si="8"/>
        <v>2.1292106586224233</v>
      </c>
      <c r="F36" s="8">
        <f t="shared" si="8"/>
        <v>2.1712158808933002</v>
      </c>
      <c r="G36" s="8">
        <f t="shared" si="8"/>
        <v>2.1860465116279069</v>
      </c>
      <c r="I36" s="8">
        <f t="shared" ref="I36:L36" si="9">I21/I15</f>
        <v>2.17845870594424</v>
      </c>
      <c r="J36" s="8">
        <f t="shared" si="9"/>
        <v>2.2629599785119527</v>
      </c>
      <c r="K36" s="8">
        <f t="shared" si="9"/>
        <v>2.4104683195592287</v>
      </c>
      <c r="L36" s="8">
        <f t="shared" si="9"/>
        <v>5.0133333333333336</v>
      </c>
    </row>
    <row r="37" spans="2:12" x14ac:dyDescent="0.2">
      <c r="B37" s="1" t="s">
        <v>11</v>
      </c>
      <c r="C37" s="8">
        <f>C29/C8</f>
        <v>0.10608424336973479</v>
      </c>
      <c r="D37" s="8">
        <f>D29/D8</f>
        <v>4.6366874147055884E-2</v>
      </c>
      <c r="E37" s="8">
        <f>E29/E8</f>
        <v>5.7007438614969388E-2</v>
      </c>
      <c r="F37" s="8">
        <f>F29/F8</f>
        <v>7.1914480077745382E-2</v>
      </c>
      <c r="G37" s="8">
        <f>G29/G8</f>
        <v>0.10608424336973479</v>
      </c>
      <c r="H37" s="8"/>
      <c r="I37" s="8">
        <f>I29/I8</f>
        <v>3.7413041307459309E-2</v>
      </c>
      <c r="J37" s="8">
        <f>J29/J8</f>
        <v>3.188960781724548E-2</v>
      </c>
      <c r="K37" s="8">
        <f>K29/K8</f>
        <v>2.5267249757045675E-2</v>
      </c>
      <c r="L37" s="8">
        <f>L29/L8</f>
        <v>-8.5179407176287053E-2</v>
      </c>
    </row>
    <row r="38" spans="2:12" x14ac:dyDescent="0.2">
      <c r="B38" s="1" t="s">
        <v>12</v>
      </c>
      <c r="C38" s="8">
        <f>C29/C15</f>
        <v>0.39534883720930231</v>
      </c>
      <c r="D38" s="8">
        <f>D29/D15</f>
        <v>0.17838391599436548</v>
      </c>
      <c r="E38" s="8">
        <f>E29/E15</f>
        <v>0.21769733534439417</v>
      </c>
      <c r="F38" s="8">
        <f>F29/F15</f>
        <v>0.27543424317617865</v>
      </c>
      <c r="G38" s="8">
        <f>G29/G15</f>
        <v>0.39534883720930231</v>
      </c>
      <c r="H38" s="8"/>
      <c r="I38" s="8">
        <f>I29/I15</f>
        <v>0.14781693845344557</v>
      </c>
      <c r="J38" s="8">
        <f>J29/J15</f>
        <v>0.1297340854149879</v>
      </c>
      <c r="K38" s="8">
        <f>K29/K15</f>
        <v>0.10743801652892562</v>
      </c>
      <c r="L38" s="8">
        <f>L29/L15</f>
        <v>-0.72799999999999998</v>
      </c>
    </row>
    <row r="40" spans="2:12" x14ac:dyDescent="0.2">
      <c r="B40" s="48" t="s">
        <v>46</v>
      </c>
      <c r="C40" s="8">
        <f>-C20/C19</f>
        <v>0</v>
      </c>
      <c r="D40" s="8">
        <f>-D20/D19</f>
        <v>0.11888297872340425</v>
      </c>
      <c r="E40" s="8">
        <f>-E20/E19</f>
        <v>9.8936170212765961E-2</v>
      </c>
      <c r="F40" s="8">
        <f>-F20/F19</f>
        <v>6.9148936170212769E-2</v>
      </c>
      <c r="G40" s="8">
        <f>-G20/G19</f>
        <v>0</v>
      </c>
      <c r="H40" s="8"/>
      <c r="I40" s="8">
        <f>-I20/I19</f>
        <v>0.11888297872340425</v>
      </c>
      <c r="J40" s="8">
        <f>-J20/J19</f>
        <v>0.10372340425531915</v>
      </c>
      <c r="K40" s="8">
        <f>-K20/K19</f>
        <v>6.9148936170212769E-2</v>
      </c>
      <c r="L40" s="8">
        <f>-L20/L19</f>
        <v>0</v>
      </c>
    </row>
  </sheetData>
  <mergeCells count="2">
    <mergeCell ref="D3:F3"/>
    <mergeCell ref="I3:K3"/>
  </mergeCells>
  <pageMargins left="0.7" right="0.7" top="0.75" bottom="0.75" header="0.3" footer="0.3"/>
  <pageSetup scale="7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topLeftCell="A16" zoomScale="150" zoomScaleNormal="150" workbookViewId="0">
      <selection activeCell="L17" sqref="L17"/>
    </sheetView>
  </sheetViews>
  <sheetFormatPr baseColWidth="10" defaultColWidth="9.140625"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97</v>
      </c>
      <c r="C6" s="40">
        <f>'Comparación A, B &amp; C'!C32</f>
        <v>0.625</v>
      </c>
      <c r="D6" s="40">
        <f>'Comparación A, B &amp; C'!D32</f>
        <v>0.70932689405372773</v>
      </c>
      <c r="E6" s="40">
        <f>'Comparación A, B &amp; C'!E32</f>
        <v>0.69362455726092087</v>
      </c>
      <c r="F6" s="40">
        <f>'Comparación A, B &amp; C'!F32</f>
        <v>0.67142857142857137</v>
      </c>
      <c r="G6" s="40">
        <f>'Comparación A, B &amp; C'!G32</f>
        <v>0.625</v>
      </c>
    </row>
    <row r="7" spans="2:7" x14ac:dyDescent="0.25">
      <c r="B7" t="s">
        <v>98</v>
      </c>
      <c r="D7" s="40">
        <f>'Comparación A, B &amp; C'!I32</f>
        <v>0.72556595230908538</v>
      </c>
      <c r="E7" s="40">
        <f>'Comparación A, B &amp; C'!J32</f>
        <v>0.73744807121661726</v>
      </c>
      <c r="F7" s="40">
        <f>'Comparación A, B &amp; C'!K32</f>
        <v>0.75371428571428567</v>
      </c>
      <c r="G7" s="40">
        <f>'Comparación A, B &amp; C'!L32</f>
        <v>0.95106382978723403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zoomScale="150" zoomScaleNormal="150" workbookViewId="0">
      <selection activeCell="H22" sqref="H22"/>
    </sheetView>
  </sheetViews>
  <sheetFormatPr baseColWidth="10" defaultColWidth="9.140625" defaultRowHeight="15" x14ac:dyDescent="0.25"/>
  <cols>
    <col min="2" max="2" width="15.28515625" customWidth="1"/>
  </cols>
  <sheetData>
    <row r="5" spans="2:7" x14ac:dyDescent="0.25">
      <c r="C5" t="s">
        <v>93</v>
      </c>
      <c r="D5" t="s">
        <v>94</v>
      </c>
      <c r="E5" t="s">
        <v>95</v>
      </c>
      <c r="F5" t="s">
        <v>96</v>
      </c>
      <c r="G5" t="s">
        <v>70</v>
      </c>
    </row>
    <row r="6" spans="2:7" x14ac:dyDescent="0.25">
      <c r="B6" t="s">
        <v>99</v>
      </c>
      <c r="C6" s="40">
        <f>'Comparación A, B &amp; C'!C34</f>
        <v>0.83776595744680848</v>
      </c>
      <c r="D6" s="40">
        <f>'Comparación A, B &amp; C'!D34</f>
        <v>0.90996519192606817</v>
      </c>
      <c r="E6" s="40">
        <f>'Comparación A, B &amp; C'!E34</f>
        <v>0.89617774875028255</v>
      </c>
      <c r="F6" s="40">
        <f>'Comparación A, B &amp; C'!F34</f>
        <v>0.87781155015197565</v>
      </c>
      <c r="G6" s="40">
        <f>'Comparación A, B &amp; C'!G34</f>
        <v>0.83776595744680848</v>
      </c>
    </row>
    <row r="7" spans="2:7" x14ac:dyDescent="0.25">
      <c r="B7" t="s">
        <v>100</v>
      </c>
      <c r="D7" s="40">
        <f>'Comparación A, B &amp; C'!I34</f>
        <v>0.92620425018142583</v>
      </c>
      <c r="E7" s="40">
        <f>'Comparación A, B &amp; C'!J34</f>
        <v>0.94000126270597895</v>
      </c>
      <c r="F7" s="40">
        <f>'Comparación A, B &amp; C'!K34</f>
        <v>0.96009726443768995</v>
      </c>
      <c r="G7" s="40">
        <f>'Comparación A, B &amp; C'!L34</f>
        <v>1.1638297872340426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Cuota Parte</vt:lpstr>
      <vt:lpstr>Exceso Pérdida</vt:lpstr>
      <vt:lpstr>Siniestros</vt:lpstr>
      <vt:lpstr>Aseguradora A</vt:lpstr>
      <vt:lpstr>Aseguradora B</vt:lpstr>
      <vt:lpstr>Aseguradora C</vt:lpstr>
      <vt:lpstr>Comparación A, B &amp; C</vt:lpstr>
      <vt:lpstr>Gráfico RatioSiniestr</vt:lpstr>
      <vt:lpstr>Gráfico RatioComb</vt:lpstr>
      <vt:lpstr>Gráfico PrimasPatrimonio</vt:lpstr>
      <vt:lpstr>Gráfico ROE</vt:lpstr>
      <vt:lpstr>Gráfico ROA</vt:lpstr>
      <vt:lpstr>Gráfico PrimasCedidas</vt:lpstr>
      <vt:lpstr>'Cuota Parte'!Área_de_impresión</vt:lpstr>
      <vt:lpstr>'Exceso Pérdida'!Área_de_impresión</vt:lpstr>
      <vt:lpstr>Siniestros!Área_de_impresión</vt:lpstr>
    </vt:vector>
  </TitlesOfParts>
  <Company>Bermuda Monetary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Salazar Cáceres Raúl Ismael</cp:lastModifiedBy>
  <cp:lastPrinted>2015-05-08T15:37:04Z</cp:lastPrinted>
  <dcterms:created xsi:type="dcterms:W3CDTF">2014-05-19T12:04:05Z</dcterms:created>
  <dcterms:modified xsi:type="dcterms:W3CDTF">2015-05-18T15:35:57Z</dcterms:modified>
</cp:coreProperties>
</file>